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gets.sharepoint.com/sites/SWAR/SWAR/ACFR 2026/Forms/"/>
    </mc:Choice>
  </mc:AlternateContent>
  <xr:revisionPtr revIDLastSave="51" documentId="8_{BB9F5346-DC03-4839-9C38-12BF0F730108}" xr6:coauthVersionLast="47" xr6:coauthVersionMax="47" xr10:uidLastSave="{B8A21BE5-2900-4DBC-B114-5962C933179D}"/>
  <bookViews>
    <workbookView xWindow="28680" yWindow="1650" windowWidth="29040" windowHeight="15720" tabRatio="911" firstSheet="1" activeTab="2" xr2:uid="{00000000-000D-0000-FFFF-FFFF00000000}"/>
  </bookViews>
  <sheets>
    <sheet name="POV" sheetId="41" state="hidden" r:id="rId1"/>
    <sheet name="Checklist" sheetId="21" r:id="rId2"/>
    <sheet name="Instructions" sheetId="18" r:id="rId3"/>
    <sheet name="SAO Checklist Only" sheetId="44" state="hidden" r:id="rId4"/>
    <sheet name="Investment Analysis" sheetId="10" r:id="rId5"/>
    <sheet name="Investment Reconciliation" sheetId="22" r:id="rId6"/>
    <sheet name="Foreign Currency Detail" sheetId="25" r:id="rId7"/>
    <sheet name="RISK MATRIX" sheetId="17" r:id="rId8"/>
    <sheet name="FCC Date &amp; NA" sheetId="38" state="hidden" r:id="rId9"/>
    <sheet name="FCC Investments - Load Tab" sheetId="40" state="hidden" r:id="rId10"/>
    <sheet name="C3 &amp; C4 &amp; Acct." sheetId="30" state="hidden" r:id="rId11"/>
    <sheet name="Investment List" sheetId="26" state="hidden" r:id="rId12"/>
    <sheet name="Entity List 6.24.2026" sheetId="24" state="hidden" r:id="rId13"/>
    <sheet name="Look-Ups-Mapping" sheetId="36" state="hidden" r:id="rId14"/>
  </sheets>
  <externalReferences>
    <externalReference r:id="rId15"/>
    <externalReference r:id="rId16"/>
    <externalReference r:id="rId17"/>
  </externalReferences>
  <definedNames>
    <definedName name="_xlnm._FilterDatabase" localSheetId="10" hidden="1">'C3 &amp; C4 &amp; Acct.'!$A$1:$D$450</definedName>
    <definedName name="_xlnm._FilterDatabase" localSheetId="9" hidden="1">'FCC Investments - Load Tab'!$B$1:$AB$1192</definedName>
    <definedName name="AS2DocOpenMode" hidden="1">"AS2DocumentEdit"</definedName>
    <definedName name="BU">'Entity List 6.24.2026'!$A$1:$A$116</definedName>
    <definedName name="CIP_BB">'[1]CIP Beg Bal'!$A$1:$F$134</definedName>
    <definedName name="Entity1">'Entity List 6.24.2026'!$A$1:$A$114</definedName>
    <definedName name="Entity2">'Entity List 6.24.2026'!$A$125:$B$203</definedName>
    <definedName name="Entity3">'Entity List 6.24.2026'!$A$1:$C$114</definedName>
    <definedName name="NA">'Entity List 6.24.2026'!$E$1</definedName>
    <definedName name="_xlnm.Print_Area" localSheetId="1">Checklist!$A$2:$H$37</definedName>
    <definedName name="_xlnm.Print_Area" localSheetId="8">'FCC Date &amp; NA'!$B$1:$R$5</definedName>
    <definedName name="_xlnm.Print_Area" localSheetId="6">'Foreign Currency Detail'!$A$2:$N$42</definedName>
    <definedName name="_xlnm.Print_Area" localSheetId="2">Instructions!$A$1:$E$161</definedName>
    <definedName name="_xlnm.Print_Area" localSheetId="4">'Investment Analysis'!$B$1:$W$82</definedName>
    <definedName name="_xlnm.Print_Area" localSheetId="7">'RISK MATRIX'!$A$3:$K$69</definedName>
    <definedName name="_xlnm.Print_Area" localSheetId="3">'SAO Checklist Only'!$A$2:$H$37</definedName>
    <definedName name="_xlnm.Print_Titles" localSheetId="1">Checklist!$2:$8</definedName>
    <definedName name="_xlnm.Print_Titles" localSheetId="12">'Entity List 6.24.2026'!#REF!</definedName>
    <definedName name="_xlnm.Print_Titles" localSheetId="2">Instructions!$1:$5</definedName>
    <definedName name="_xlnm.Print_Titles" localSheetId="4">'Investment Analysis'!$3:$11</definedName>
    <definedName name="_xlnm.Print_Titles" localSheetId="3">'SAO Checklist Only'!$2:$8</definedName>
    <definedName name="Rating">'Entity List 6.24.2026'!$G$5:$G$6</definedName>
    <definedName name="Term" localSheetId="12">'Entity List 6.24.2026'!$E$4:$E$5</definedName>
    <definedName name="Term">'Investment Analysis'!#REF!</definedName>
    <definedName name="TermRating">'Entity List 6.24.2026'!$G$5:$G$6</definedName>
    <definedName name="YN">'Entity List 6.24.2026'!$G$1:$G$2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 i="40" l="1"/>
  <c r="E1050" i="40"/>
  <c r="H2" i="40"/>
  <c r="H723" i="40" s="1"/>
  <c r="J37" i="10"/>
  <c r="M37" i="10" s="1"/>
  <c r="J22" i="10"/>
  <c r="L22" i="10" s="1"/>
  <c r="J23" i="10"/>
  <c r="M23" i="10" s="1"/>
  <c r="N21" i="10"/>
  <c r="M21" i="10"/>
  <c r="D5" i="21"/>
  <c r="G1063" i="40"/>
  <c r="G1062" i="40"/>
  <c r="G1061" i="40"/>
  <c r="G1060" i="40"/>
  <c r="G1059" i="40"/>
  <c r="G1058" i="40"/>
  <c r="G1057" i="40"/>
  <c r="G1056" i="40"/>
  <c r="G1055" i="40"/>
  <c r="G1054" i="40"/>
  <c r="G1053" i="40"/>
  <c r="G1052" i="40"/>
  <c r="G1051" i="40"/>
  <c r="G1050" i="40"/>
  <c r="G1036" i="40"/>
  <c r="G1035" i="40"/>
  <c r="G1034" i="40"/>
  <c r="G1033" i="40"/>
  <c r="G1032" i="40"/>
  <c r="G1031" i="40"/>
  <c r="G1030" i="40"/>
  <c r="G1029" i="40"/>
  <c r="G1028" i="40"/>
  <c r="G1027" i="40"/>
  <c r="G1026" i="40"/>
  <c r="G1025" i="40"/>
  <c r="G1024" i="40"/>
  <c r="G1023" i="40"/>
  <c r="G874" i="40"/>
  <c r="G873" i="40"/>
  <c r="G872" i="40"/>
  <c r="G871" i="40"/>
  <c r="G870" i="40"/>
  <c r="G869" i="40"/>
  <c r="G868" i="40"/>
  <c r="G867" i="40"/>
  <c r="G866" i="40"/>
  <c r="G865" i="40"/>
  <c r="G864" i="40"/>
  <c r="G863" i="40"/>
  <c r="G862" i="40"/>
  <c r="G861" i="40"/>
  <c r="G820" i="40"/>
  <c r="G819" i="40"/>
  <c r="G818" i="40"/>
  <c r="G817" i="40"/>
  <c r="G816" i="40"/>
  <c r="G815" i="40"/>
  <c r="G814" i="40"/>
  <c r="G813" i="40"/>
  <c r="G812" i="40"/>
  <c r="G811" i="40"/>
  <c r="G810" i="40"/>
  <c r="G809" i="40"/>
  <c r="G808" i="40"/>
  <c r="G807" i="40"/>
  <c r="G766" i="40"/>
  <c r="G765" i="40"/>
  <c r="G764" i="40"/>
  <c r="G763" i="40"/>
  <c r="G762" i="40"/>
  <c r="G761" i="40"/>
  <c r="G760" i="40"/>
  <c r="G759" i="40"/>
  <c r="G758" i="40"/>
  <c r="G757" i="40"/>
  <c r="G756" i="40"/>
  <c r="G755" i="40"/>
  <c r="G754" i="40"/>
  <c r="G753" i="40"/>
  <c r="G685" i="40"/>
  <c r="G684" i="40"/>
  <c r="G683" i="40"/>
  <c r="G682" i="40"/>
  <c r="G681" i="40"/>
  <c r="G680" i="40"/>
  <c r="G679" i="40"/>
  <c r="G678" i="40"/>
  <c r="G677" i="40"/>
  <c r="G676" i="40"/>
  <c r="G675" i="40"/>
  <c r="G674" i="40"/>
  <c r="G673" i="40"/>
  <c r="G672" i="40"/>
  <c r="G577" i="40"/>
  <c r="G576" i="40"/>
  <c r="G575" i="40"/>
  <c r="G574" i="40"/>
  <c r="G573" i="40"/>
  <c r="G572" i="40"/>
  <c r="G571" i="40"/>
  <c r="G570" i="40"/>
  <c r="G569" i="40"/>
  <c r="G568" i="40"/>
  <c r="G567" i="40"/>
  <c r="G566" i="40"/>
  <c r="G565" i="40"/>
  <c r="G564" i="40"/>
  <c r="G415" i="40"/>
  <c r="G414" i="40"/>
  <c r="G413" i="40"/>
  <c r="G412" i="40"/>
  <c r="G411" i="40"/>
  <c r="G410" i="40"/>
  <c r="G409" i="40"/>
  <c r="G408" i="40"/>
  <c r="G407" i="40"/>
  <c r="G406" i="40"/>
  <c r="G405" i="40"/>
  <c r="G404" i="40"/>
  <c r="G403" i="40"/>
  <c r="G402" i="40"/>
  <c r="G199" i="40"/>
  <c r="G198" i="40"/>
  <c r="G197" i="40"/>
  <c r="G196" i="40"/>
  <c r="G195" i="40"/>
  <c r="G194" i="40"/>
  <c r="G193" i="40"/>
  <c r="G192" i="40"/>
  <c r="G191" i="40"/>
  <c r="G190" i="40"/>
  <c r="G189" i="40"/>
  <c r="G188" i="40"/>
  <c r="G187" i="40"/>
  <c r="G186" i="40"/>
  <c r="G145" i="40"/>
  <c r="G144" i="40"/>
  <c r="G143" i="40"/>
  <c r="G142" i="40"/>
  <c r="G141" i="40"/>
  <c r="G140" i="40"/>
  <c r="G139" i="40"/>
  <c r="G138" i="40"/>
  <c r="G137" i="40"/>
  <c r="G136" i="40"/>
  <c r="G135" i="40"/>
  <c r="G134" i="40"/>
  <c r="G133" i="40"/>
  <c r="G132" i="40"/>
  <c r="G1069" i="40"/>
  <c r="G1068" i="40"/>
  <c r="G1067" i="40"/>
  <c r="G1066" i="40"/>
  <c r="G1065" i="40"/>
  <c r="G1042" i="40"/>
  <c r="G1041" i="40"/>
  <c r="G1040" i="40"/>
  <c r="G1039" i="40"/>
  <c r="G1038" i="40"/>
  <c r="G880" i="40"/>
  <c r="G879" i="40"/>
  <c r="G878" i="40"/>
  <c r="G877" i="40"/>
  <c r="G876" i="40"/>
  <c r="G826" i="40"/>
  <c r="G825" i="40"/>
  <c r="G824" i="40"/>
  <c r="G823" i="40"/>
  <c r="G822" i="40"/>
  <c r="G772" i="40"/>
  <c r="G771" i="40"/>
  <c r="G770" i="40"/>
  <c r="G769" i="40"/>
  <c r="G768" i="40"/>
  <c r="G691" i="40"/>
  <c r="G690" i="40"/>
  <c r="G689" i="40"/>
  <c r="G688" i="40"/>
  <c r="G687" i="40"/>
  <c r="G583" i="40"/>
  <c r="G582" i="40"/>
  <c r="G581" i="40"/>
  <c r="G580" i="40"/>
  <c r="G579" i="40"/>
  <c r="G421" i="40"/>
  <c r="G420" i="40"/>
  <c r="G419" i="40"/>
  <c r="G418" i="40"/>
  <c r="G417" i="40"/>
  <c r="G205" i="40"/>
  <c r="G204" i="40"/>
  <c r="G203" i="40"/>
  <c r="G202" i="40"/>
  <c r="G201" i="40"/>
  <c r="G151" i="40"/>
  <c r="G150" i="40"/>
  <c r="G149" i="40"/>
  <c r="G148" i="40"/>
  <c r="G147" i="40"/>
  <c r="D5" i="44"/>
  <c r="H72" i="10"/>
  <c r="E961" i="40"/>
  <c r="E960" i="40"/>
  <c r="E959" i="40"/>
  <c r="E958" i="40"/>
  <c r="E957" i="40"/>
  <c r="Y48" i="10"/>
  <c r="Y47" i="10"/>
  <c r="Z47" i="10"/>
  <c r="AA47" i="10"/>
  <c r="Z48" i="10"/>
  <c r="AA48" i="10"/>
  <c r="E954" i="40"/>
  <c r="E953" i="40"/>
  <c r="E952" i="40"/>
  <c r="AB48" i="10" a="1"/>
  <c r="AB48" i="10"/>
  <c r="AB47" i="10" a="1"/>
  <c r="AB47" i="10"/>
  <c r="H41" i="25"/>
  <c r="E583" i="40"/>
  <c r="E582" i="40"/>
  <c r="E581" i="40"/>
  <c r="E580" i="40"/>
  <c r="E579" i="40"/>
  <c r="E577" i="40"/>
  <c r="E576" i="40"/>
  <c r="E575" i="40"/>
  <c r="E574" i="40"/>
  <c r="E573" i="40"/>
  <c r="E572" i="40"/>
  <c r="E571" i="40"/>
  <c r="E570" i="40"/>
  <c r="E569" i="40"/>
  <c r="E568" i="40"/>
  <c r="E567" i="40"/>
  <c r="E566" i="40"/>
  <c r="E565" i="40"/>
  <c r="E564" i="40"/>
  <c r="E7" i="40"/>
  <c r="Q664" i="40"/>
  <c r="E1060" i="40"/>
  <c r="E1069" i="40"/>
  <c r="E1068" i="40"/>
  <c r="E1067" i="40"/>
  <c r="E1066" i="40"/>
  <c r="E1065" i="40"/>
  <c r="E1035" i="40"/>
  <c r="E1038" i="40"/>
  <c r="E1024" i="40"/>
  <c r="E1042" i="40"/>
  <c r="E1041" i="40"/>
  <c r="E1040" i="40"/>
  <c r="E1039" i="40"/>
  <c r="E1014" i="40"/>
  <c r="E1013" i="40"/>
  <c r="E1012" i="40"/>
  <c r="E1011" i="40"/>
  <c r="E1009" i="40"/>
  <c r="E1008" i="40"/>
  <c r="E1007" i="40"/>
  <c r="E1006" i="40"/>
  <c r="E999" i="40"/>
  <c r="E998" i="40"/>
  <c r="E997" i="40"/>
  <c r="E996" i="40"/>
  <c r="E988" i="40"/>
  <c r="E987" i="40"/>
  <c r="E986" i="40"/>
  <c r="E985" i="40"/>
  <c r="E984" i="40"/>
  <c r="E981" i="40"/>
  <c r="E980" i="40"/>
  <c r="E979" i="40"/>
  <c r="E971" i="40"/>
  <c r="E205" i="40"/>
  <c r="E204" i="40"/>
  <c r="E203" i="40"/>
  <c r="E202" i="40"/>
  <c r="E201" i="40"/>
  <c r="E396" i="40"/>
  <c r="E691" i="40"/>
  <c r="E690" i="40"/>
  <c r="E689" i="40"/>
  <c r="E688" i="40"/>
  <c r="E687" i="40"/>
  <c r="E826" i="40"/>
  <c r="E825" i="40"/>
  <c r="E824" i="40"/>
  <c r="E823" i="40"/>
  <c r="E822" i="40"/>
  <c r="E880" i="40"/>
  <c r="E879" i="40"/>
  <c r="E878" i="40"/>
  <c r="E877" i="40"/>
  <c r="E876" i="40"/>
  <c r="E768" i="40"/>
  <c r="E772" i="40"/>
  <c r="E771" i="40"/>
  <c r="E770" i="40"/>
  <c r="E769" i="40"/>
  <c r="E745" i="40"/>
  <c r="E744" i="40"/>
  <c r="E743" i="40"/>
  <c r="E742" i="40"/>
  <c r="E741" i="40"/>
  <c r="E739" i="40"/>
  <c r="E738" i="40"/>
  <c r="E737" i="40"/>
  <c r="E736" i="40"/>
  <c r="E735" i="40"/>
  <c r="E734" i="40"/>
  <c r="E733" i="40"/>
  <c r="E732" i="40"/>
  <c r="E731" i="40"/>
  <c r="E730" i="40"/>
  <c r="E729" i="40"/>
  <c r="E728" i="40"/>
  <c r="E727" i="40"/>
  <c r="E726" i="40"/>
  <c r="E664" i="40"/>
  <c r="E663" i="40"/>
  <c r="E662" i="40"/>
  <c r="E661" i="40"/>
  <c r="E660" i="40"/>
  <c r="E658" i="40"/>
  <c r="E657" i="40"/>
  <c r="E656" i="40"/>
  <c r="E655" i="40"/>
  <c r="E654" i="40"/>
  <c r="E653" i="40"/>
  <c r="E652" i="40"/>
  <c r="E651" i="40"/>
  <c r="E650" i="40"/>
  <c r="E649" i="40"/>
  <c r="E648" i="40"/>
  <c r="E647" i="40"/>
  <c r="E646" i="40"/>
  <c r="E645" i="40"/>
  <c r="E183" i="40"/>
  <c r="E181" i="40"/>
  <c r="E197" i="40"/>
  <c r="E417" i="40"/>
  <c r="E403" i="40"/>
  <c r="E421" i="40"/>
  <c r="E420" i="40"/>
  <c r="E419" i="40"/>
  <c r="E418" i="40"/>
  <c r="E390" i="40"/>
  <c r="E375" i="40"/>
  <c r="E366" i="40"/>
  <c r="E199" i="40"/>
  <c r="E198" i="40"/>
  <c r="E196" i="40"/>
  <c r="E195" i="40"/>
  <c r="E194" i="40"/>
  <c r="E193" i="40"/>
  <c r="E192" i="40"/>
  <c r="E191" i="40"/>
  <c r="E190" i="40"/>
  <c r="E189" i="40"/>
  <c r="E188" i="40"/>
  <c r="E187" i="40"/>
  <c r="E186" i="40"/>
  <c r="E3" i="40"/>
  <c r="E4" i="10"/>
  <c r="E643" i="40" s="1"/>
  <c r="J28" i="10"/>
  <c r="K28" i="10" s="1"/>
  <c r="E128" i="40"/>
  <c r="J24" i="10"/>
  <c r="K24" i="10" s="1"/>
  <c r="E639" i="40" s="1"/>
  <c r="J25" i="10"/>
  <c r="O25" i="10" s="1"/>
  <c r="J26" i="10"/>
  <c r="M26" i="10" s="1"/>
  <c r="O26" i="10"/>
  <c r="J27" i="10"/>
  <c r="N27" i="10" s="1"/>
  <c r="J29" i="10"/>
  <c r="N29" i="10" s="1"/>
  <c r="J30" i="10"/>
  <c r="M30" i="10" s="1"/>
  <c r="E450" i="40"/>
  <c r="J31" i="10"/>
  <c r="O31" i="10" s="1"/>
  <c r="J32" i="10"/>
  <c r="L32" i="10" s="1"/>
  <c r="O32" i="10"/>
  <c r="J33" i="10"/>
  <c r="K33" i="10" s="1"/>
  <c r="O33" i="10"/>
  <c r="J34" i="10"/>
  <c r="N34" i="10" s="1"/>
  <c r="E561" i="40"/>
  <c r="J35" i="10"/>
  <c r="O35" i="10" s="1"/>
  <c r="J36" i="10"/>
  <c r="N36" i="10" s="1"/>
  <c r="J38" i="10"/>
  <c r="M38" i="10" s="1"/>
  <c r="J39" i="10"/>
  <c r="M39" i="10" s="1"/>
  <c r="N39" i="10"/>
  <c r="J40" i="10"/>
  <c r="O40" i="10" s="1"/>
  <c r="J41" i="10"/>
  <c r="K41" i="10" s="1"/>
  <c r="J42" i="10"/>
  <c r="M42" i="10" s="1"/>
  <c r="O42" i="10"/>
  <c r="J43" i="10"/>
  <c r="O43" i="10" s="1"/>
  <c r="J44" i="10"/>
  <c r="M44" i="10" s="1"/>
  <c r="J45" i="10"/>
  <c r="K45" i="10" s="1"/>
  <c r="J46" i="10"/>
  <c r="L46" i="10" s="1"/>
  <c r="E885" i="40"/>
  <c r="J47" i="10"/>
  <c r="L47" i="10" s="1"/>
  <c r="N47" i="10"/>
  <c r="J48" i="10"/>
  <c r="N48" i="10" s="1"/>
  <c r="J49" i="10"/>
  <c r="N49" i="10" s="1"/>
  <c r="J50" i="10"/>
  <c r="L50" i="10" s="1"/>
  <c r="J51" i="10"/>
  <c r="O51" i="10" s="1"/>
  <c r="J52" i="10"/>
  <c r="M52" i="10" s="1"/>
  <c r="E1046" i="40"/>
  <c r="J53" i="10"/>
  <c r="M53" i="10" s="1"/>
  <c r="J54" i="10"/>
  <c r="K54" i="10" s="1"/>
  <c r="J55" i="10"/>
  <c r="N55" i="10" s="1"/>
  <c r="J56" i="10"/>
  <c r="O56" i="10" s="1"/>
  <c r="J57" i="10"/>
  <c r="O57" i="10" s="1"/>
  <c r="J58" i="10"/>
  <c r="L58" i="10" s="1"/>
  <c r="J59" i="10"/>
  <c r="N59" i="10" s="1"/>
  <c r="J60" i="10"/>
  <c r="N60" i="10" s="1"/>
  <c r="J61" i="10"/>
  <c r="K61" i="10"/>
  <c r="J62" i="10"/>
  <c r="N62" i="10" s="1"/>
  <c r="J63" i="10"/>
  <c r="O63" i="10" s="1"/>
  <c r="J64" i="10"/>
  <c r="N64" i="10" s="1"/>
  <c r="J65" i="10"/>
  <c r="M65" i="10" s="1"/>
  <c r="J66" i="10"/>
  <c r="O66" i="10" s="1"/>
  <c r="J67" i="10"/>
  <c r="O67" i="10" s="1"/>
  <c r="J68" i="10"/>
  <c r="M68" i="10" s="1"/>
  <c r="N68" i="10"/>
  <c r="J69" i="10"/>
  <c r="O69" i="10" s="1"/>
  <c r="N65" i="10"/>
  <c r="O54" i="10"/>
  <c r="Y21" i="10"/>
  <c r="Y22" i="10"/>
  <c r="Y23" i="10"/>
  <c r="Y24" i="10"/>
  <c r="Y25" i="10"/>
  <c r="Z25" i="10"/>
  <c r="AA25" i="10"/>
  <c r="AB25" i="10" a="1"/>
  <c r="AB25" i="10" s="1"/>
  <c r="E974" i="40" s="1"/>
  <c r="Y26" i="10"/>
  <c r="Y27" i="10"/>
  <c r="Y28" i="10"/>
  <c r="Y29" i="10"/>
  <c r="Y30" i="10"/>
  <c r="Y31" i="10"/>
  <c r="Y32" i="10"/>
  <c r="Y33" i="10"/>
  <c r="Z33" i="10"/>
  <c r="AA33" i="10"/>
  <c r="AB33" i="10" a="1"/>
  <c r="AB33" i="10"/>
  <c r="Y34" i="10"/>
  <c r="Y35" i="10"/>
  <c r="Y36" i="10"/>
  <c r="Y37" i="10"/>
  <c r="Y38" i="10"/>
  <c r="Y39" i="10"/>
  <c r="Y40" i="10"/>
  <c r="Y41" i="10"/>
  <c r="Y42" i="10"/>
  <c r="Y43" i="10"/>
  <c r="Y44" i="10"/>
  <c r="Y45" i="10"/>
  <c r="Y46" i="10"/>
  <c r="Y49" i="10"/>
  <c r="Y50" i="10"/>
  <c r="Y51" i="10"/>
  <c r="Z51" i="10"/>
  <c r="AA51" i="10"/>
  <c r="AB51" i="10" a="1"/>
  <c r="AB51" i="10"/>
  <c r="Y52" i="10"/>
  <c r="Y53" i="10"/>
  <c r="Y54" i="10"/>
  <c r="Y55" i="10"/>
  <c r="Y56" i="10"/>
  <c r="Y57" i="10"/>
  <c r="Y58" i="10"/>
  <c r="Y59" i="10"/>
  <c r="Y60" i="10"/>
  <c r="Y61" i="10"/>
  <c r="Y62" i="10"/>
  <c r="Y63" i="10"/>
  <c r="Y64" i="10"/>
  <c r="Y65" i="10"/>
  <c r="Y66" i="10"/>
  <c r="Y67" i="10"/>
  <c r="Y68" i="10"/>
  <c r="Y69" i="10"/>
  <c r="Y20" i="10"/>
  <c r="Z21" i="10"/>
  <c r="AA21" i="10"/>
  <c r="Z22" i="10"/>
  <c r="AA22" i="10"/>
  <c r="Z23" i="10"/>
  <c r="AA23" i="10"/>
  <c r="Z24" i="10"/>
  <c r="AA24" i="10"/>
  <c r="Z26" i="10"/>
  <c r="AA26" i="10"/>
  <c r="Z27" i="10"/>
  <c r="AA27" i="10"/>
  <c r="Z28" i="10"/>
  <c r="AA28" i="10"/>
  <c r="Z29" i="10"/>
  <c r="AA29" i="10"/>
  <c r="Z30" i="10"/>
  <c r="AA30" i="10"/>
  <c r="Z31" i="10"/>
  <c r="AA31" i="10"/>
  <c r="Z32" i="10"/>
  <c r="AA32" i="10"/>
  <c r="Z34" i="10"/>
  <c r="AA34" i="10"/>
  <c r="Z35" i="10"/>
  <c r="AA35" i="10"/>
  <c r="Z36" i="10"/>
  <c r="AA36" i="10"/>
  <c r="Z37" i="10"/>
  <c r="AA37" i="10"/>
  <c r="AB37" i="10" a="1"/>
  <c r="AB37" i="10"/>
  <c r="Z38" i="10"/>
  <c r="AA38" i="10"/>
  <c r="Z39" i="10"/>
  <c r="AA39" i="10"/>
  <c r="Z40" i="10"/>
  <c r="AA40" i="10"/>
  <c r="Z41" i="10"/>
  <c r="AA41" i="10"/>
  <c r="Z42" i="10"/>
  <c r="AA42" i="10"/>
  <c r="Z43" i="10"/>
  <c r="AA43" i="10"/>
  <c r="Z44" i="10"/>
  <c r="AA44" i="10"/>
  <c r="Z45" i="10"/>
  <c r="AA45" i="10"/>
  <c r="Z46" i="10"/>
  <c r="AA46" i="10"/>
  <c r="Z49" i="10"/>
  <c r="AA49" i="10"/>
  <c r="Z50" i="10"/>
  <c r="AA50" i="10"/>
  <c r="Z52" i="10"/>
  <c r="AA52" i="10"/>
  <c r="Z53" i="10"/>
  <c r="AA53" i="10"/>
  <c r="Z54" i="10"/>
  <c r="AA54" i="10"/>
  <c r="Z55" i="10"/>
  <c r="AA55" i="10"/>
  <c r="AB55" i="10" a="1"/>
  <c r="AB55" i="10"/>
  <c r="Z56" i="10"/>
  <c r="AA56" i="10"/>
  <c r="Z57" i="10"/>
  <c r="AA57" i="10"/>
  <c r="Z58" i="10"/>
  <c r="AA58" i="10"/>
  <c r="Z59" i="10"/>
  <c r="AA59" i="10"/>
  <c r="Z60" i="10"/>
  <c r="AA60" i="10"/>
  <c r="Z61" i="10"/>
  <c r="AA61" i="10"/>
  <c r="Z62" i="10"/>
  <c r="AA62" i="10"/>
  <c r="Z63" i="10"/>
  <c r="AA63" i="10"/>
  <c r="Z64" i="10"/>
  <c r="AA64" i="10"/>
  <c r="Z65" i="10"/>
  <c r="AA65" i="10"/>
  <c r="Z66" i="10"/>
  <c r="AA66" i="10"/>
  <c r="Z67" i="10"/>
  <c r="AA67" i="10"/>
  <c r="Z68" i="10"/>
  <c r="AA68" i="10"/>
  <c r="Z69" i="10"/>
  <c r="AA69" i="10"/>
  <c r="AA20" i="10"/>
  <c r="Z20" i="10"/>
  <c r="B1" i="41"/>
  <c r="H2" i="38"/>
  <c r="H3" i="38" s="1"/>
  <c r="H4" i="38" s="1"/>
  <c r="H5" i="38" s="1"/>
  <c r="E1063" i="40"/>
  <c r="E1062" i="40"/>
  <c r="E1061" i="40"/>
  <c r="E1059" i="40"/>
  <c r="E1058" i="40"/>
  <c r="E1057" i="40"/>
  <c r="E1056" i="40"/>
  <c r="E1055" i="40"/>
  <c r="E1054" i="40"/>
  <c r="E1053" i="40"/>
  <c r="E1052" i="40"/>
  <c r="E1051" i="40"/>
  <c r="E1036" i="40"/>
  <c r="E1034" i="40"/>
  <c r="E1033" i="40"/>
  <c r="E1032" i="40"/>
  <c r="E1031" i="40"/>
  <c r="E1030" i="40"/>
  <c r="E1029" i="40"/>
  <c r="E1028" i="40"/>
  <c r="E1027" i="40"/>
  <c r="E1026" i="40"/>
  <c r="E1025" i="40"/>
  <c r="E1023" i="40"/>
  <c r="E874" i="40"/>
  <c r="E873" i="40"/>
  <c r="E872" i="40"/>
  <c r="E871" i="40"/>
  <c r="E870" i="40"/>
  <c r="E869" i="40"/>
  <c r="E868" i="40"/>
  <c r="E867" i="40"/>
  <c r="E866" i="40"/>
  <c r="E865" i="40"/>
  <c r="E864" i="40"/>
  <c r="E863" i="40"/>
  <c r="E862" i="40"/>
  <c r="E861" i="40"/>
  <c r="E820" i="40"/>
  <c r="E819" i="40"/>
  <c r="E818" i="40"/>
  <c r="E817" i="40"/>
  <c r="E816" i="40"/>
  <c r="E815" i="40"/>
  <c r="E814" i="40"/>
  <c r="E813" i="40"/>
  <c r="E812" i="40"/>
  <c r="E811" i="40"/>
  <c r="E810" i="40"/>
  <c r="E809" i="40"/>
  <c r="E808" i="40"/>
  <c r="E807" i="40"/>
  <c r="E766" i="40"/>
  <c r="E765" i="40"/>
  <c r="E764" i="40"/>
  <c r="E763" i="40"/>
  <c r="E762" i="40"/>
  <c r="E761" i="40"/>
  <c r="E760" i="40"/>
  <c r="E759" i="40"/>
  <c r="E758" i="40"/>
  <c r="E757" i="40"/>
  <c r="E756" i="40"/>
  <c r="E755" i="40"/>
  <c r="E754" i="40"/>
  <c r="E753" i="40"/>
  <c r="E685" i="40"/>
  <c r="E684" i="40"/>
  <c r="E683" i="40"/>
  <c r="E682" i="40"/>
  <c r="E681" i="40"/>
  <c r="E680" i="40"/>
  <c r="E679" i="40"/>
  <c r="E678" i="40"/>
  <c r="E677" i="40"/>
  <c r="E676" i="40"/>
  <c r="E675" i="40"/>
  <c r="E674" i="40"/>
  <c r="E673" i="40"/>
  <c r="E672" i="40"/>
  <c r="E402" i="40"/>
  <c r="E415" i="40"/>
  <c r="E414" i="40"/>
  <c r="E413" i="40"/>
  <c r="E412" i="40"/>
  <c r="E411" i="40"/>
  <c r="E410" i="40"/>
  <c r="E409" i="40"/>
  <c r="E408" i="40"/>
  <c r="E407" i="40"/>
  <c r="E406" i="40"/>
  <c r="E405" i="40"/>
  <c r="E404" i="40"/>
  <c r="E132" i="40"/>
  <c r="E145" i="40"/>
  <c r="E144" i="40"/>
  <c r="E143" i="40"/>
  <c r="E142" i="40"/>
  <c r="E141" i="40"/>
  <c r="E140" i="40"/>
  <c r="E139" i="40"/>
  <c r="E138" i="40"/>
  <c r="E137" i="40"/>
  <c r="E136" i="40"/>
  <c r="E135" i="40"/>
  <c r="E134" i="40"/>
  <c r="E133" i="40"/>
  <c r="G1048" i="40"/>
  <c r="G1047" i="40"/>
  <c r="G1046" i="40"/>
  <c r="G1045" i="40"/>
  <c r="G1044" i="40"/>
  <c r="G1021" i="40"/>
  <c r="G1020" i="40"/>
  <c r="G1019" i="40"/>
  <c r="G1018" i="40"/>
  <c r="G1017" i="40"/>
  <c r="S1069" i="40"/>
  <c r="R1069" i="40"/>
  <c r="Q1069" i="40"/>
  <c r="N1069" i="40"/>
  <c r="M1069" i="40"/>
  <c r="L1069" i="40"/>
  <c r="K1069" i="40"/>
  <c r="J1069" i="40"/>
  <c r="I1069" i="40"/>
  <c r="S1068" i="40"/>
  <c r="R1068" i="40"/>
  <c r="Q1068" i="40"/>
  <c r="N1068" i="40"/>
  <c r="M1068" i="40"/>
  <c r="L1068" i="40"/>
  <c r="K1068" i="40"/>
  <c r="J1068" i="40"/>
  <c r="I1068" i="40"/>
  <c r="S1067" i="40"/>
  <c r="R1067" i="40"/>
  <c r="Q1067" i="40"/>
  <c r="N1067" i="40"/>
  <c r="M1067" i="40"/>
  <c r="L1067" i="40"/>
  <c r="K1067" i="40"/>
  <c r="J1067" i="40"/>
  <c r="I1067" i="40"/>
  <c r="S1066" i="40"/>
  <c r="R1066" i="40"/>
  <c r="Q1066" i="40"/>
  <c r="N1066" i="40"/>
  <c r="M1066" i="40"/>
  <c r="L1066" i="40"/>
  <c r="K1066" i="40"/>
  <c r="J1066" i="40"/>
  <c r="I1066" i="40"/>
  <c r="Q1065" i="40"/>
  <c r="J1065" i="40"/>
  <c r="I1065" i="40"/>
  <c r="S1063" i="40"/>
  <c r="R1063" i="40"/>
  <c r="Q1063" i="40"/>
  <c r="N1063" i="40"/>
  <c r="M1063" i="40"/>
  <c r="L1063" i="40"/>
  <c r="K1063" i="40"/>
  <c r="J1063" i="40"/>
  <c r="I1063" i="40"/>
  <c r="S1062" i="40"/>
  <c r="R1062" i="40"/>
  <c r="Q1062" i="40"/>
  <c r="N1062" i="40"/>
  <c r="M1062" i="40"/>
  <c r="L1062" i="40"/>
  <c r="K1062" i="40"/>
  <c r="J1062" i="40"/>
  <c r="I1062" i="40"/>
  <c r="S1061" i="40"/>
  <c r="R1061" i="40"/>
  <c r="Q1061" i="40"/>
  <c r="N1061" i="40"/>
  <c r="M1061" i="40"/>
  <c r="L1061" i="40"/>
  <c r="K1061" i="40"/>
  <c r="J1061" i="40"/>
  <c r="I1061" i="40"/>
  <c r="S1060" i="40"/>
  <c r="R1060" i="40"/>
  <c r="Q1060" i="40"/>
  <c r="N1060" i="40"/>
  <c r="M1060" i="40"/>
  <c r="L1060" i="40"/>
  <c r="K1060" i="40"/>
  <c r="J1060" i="40"/>
  <c r="I1060" i="40"/>
  <c r="S1059" i="40"/>
  <c r="R1059" i="40"/>
  <c r="Q1059" i="40"/>
  <c r="N1059" i="40"/>
  <c r="M1059" i="40"/>
  <c r="L1059" i="40"/>
  <c r="K1059" i="40"/>
  <c r="J1059" i="40"/>
  <c r="I1059" i="40"/>
  <c r="S1058" i="40"/>
  <c r="R1058" i="40"/>
  <c r="Q1058" i="40"/>
  <c r="N1058" i="40"/>
  <c r="M1058" i="40"/>
  <c r="L1058" i="40"/>
  <c r="K1058" i="40"/>
  <c r="J1058" i="40"/>
  <c r="I1058" i="40"/>
  <c r="S1057" i="40"/>
  <c r="R1057" i="40"/>
  <c r="Q1057" i="40"/>
  <c r="N1057" i="40"/>
  <c r="M1057" i="40"/>
  <c r="L1057" i="40"/>
  <c r="K1057" i="40"/>
  <c r="J1057" i="40"/>
  <c r="I1057" i="40"/>
  <c r="S1056" i="40"/>
  <c r="R1056" i="40"/>
  <c r="Q1056" i="40"/>
  <c r="N1056" i="40"/>
  <c r="M1056" i="40"/>
  <c r="L1056" i="40"/>
  <c r="K1056" i="40"/>
  <c r="J1056" i="40"/>
  <c r="I1056" i="40"/>
  <c r="S1055" i="40"/>
  <c r="R1055" i="40"/>
  <c r="Q1055" i="40"/>
  <c r="N1055" i="40"/>
  <c r="M1055" i="40"/>
  <c r="L1055" i="40"/>
  <c r="K1055" i="40"/>
  <c r="J1055" i="40"/>
  <c r="I1055" i="40"/>
  <c r="S1054" i="40"/>
  <c r="R1054" i="40"/>
  <c r="Q1054" i="40"/>
  <c r="N1054" i="40"/>
  <c r="M1054" i="40"/>
  <c r="L1054" i="40"/>
  <c r="K1054" i="40"/>
  <c r="J1054" i="40"/>
  <c r="I1054" i="40"/>
  <c r="S1053" i="40"/>
  <c r="R1053" i="40"/>
  <c r="Q1053" i="40"/>
  <c r="N1053" i="40"/>
  <c r="M1053" i="40"/>
  <c r="L1053" i="40"/>
  <c r="K1053" i="40"/>
  <c r="J1053" i="40"/>
  <c r="I1053" i="40"/>
  <c r="S1052" i="40"/>
  <c r="R1052" i="40"/>
  <c r="Q1052" i="40"/>
  <c r="N1052" i="40"/>
  <c r="M1052" i="40"/>
  <c r="L1052" i="40"/>
  <c r="K1052" i="40"/>
  <c r="J1052" i="40"/>
  <c r="I1052" i="40"/>
  <c r="S1051" i="40"/>
  <c r="R1051" i="40"/>
  <c r="Q1051" i="40"/>
  <c r="N1051" i="40"/>
  <c r="M1051" i="40"/>
  <c r="L1051" i="40"/>
  <c r="K1051" i="40"/>
  <c r="J1051" i="40"/>
  <c r="I1051" i="40"/>
  <c r="S1050" i="40"/>
  <c r="R1050" i="40"/>
  <c r="Q1050" i="40"/>
  <c r="N1050" i="40"/>
  <c r="M1050" i="40"/>
  <c r="L1050" i="40"/>
  <c r="K1050" i="40"/>
  <c r="J1050" i="40"/>
  <c r="I1050" i="40"/>
  <c r="S1048" i="40"/>
  <c r="R1048" i="40"/>
  <c r="Q1048" i="40"/>
  <c r="N1048" i="40"/>
  <c r="M1048" i="40"/>
  <c r="L1048" i="40"/>
  <c r="K1048" i="40"/>
  <c r="J1048" i="40"/>
  <c r="I1048" i="40"/>
  <c r="S1047" i="40"/>
  <c r="R1047" i="40"/>
  <c r="Q1047" i="40"/>
  <c r="N1047" i="40"/>
  <c r="M1047" i="40"/>
  <c r="L1047" i="40"/>
  <c r="K1047" i="40"/>
  <c r="J1047" i="40"/>
  <c r="I1047" i="40"/>
  <c r="S1046" i="40"/>
  <c r="R1046" i="40"/>
  <c r="Q1046" i="40"/>
  <c r="N1046" i="40"/>
  <c r="M1046" i="40"/>
  <c r="L1046" i="40"/>
  <c r="K1046" i="40"/>
  <c r="J1046" i="40"/>
  <c r="I1046" i="40"/>
  <c r="S1045" i="40"/>
  <c r="R1045" i="40"/>
  <c r="Q1045" i="40"/>
  <c r="N1045" i="40"/>
  <c r="M1045" i="40"/>
  <c r="L1045" i="40"/>
  <c r="K1045" i="40"/>
  <c r="J1045" i="40"/>
  <c r="I1045" i="40"/>
  <c r="Q1044" i="40"/>
  <c r="J1044" i="40"/>
  <c r="I1044" i="40"/>
  <c r="S1042" i="40"/>
  <c r="R1042" i="40"/>
  <c r="Q1042" i="40"/>
  <c r="N1042" i="40"/>
  <c r="M1042" i="40"/>
  <c r="L1042" i="40"/>
  <c r="K1042" i="40"/>
  <c r="J1042" i="40"/>
  <c r="I1042" i="40"/>
  <c r="S1041" i="40"/>
  <c r="R1041" i="40"/>
  <c r="Q1041" i="40"/>
  <c r="N1041" i="40"/>
  <c r="M1041" i="40"/>
  <c r="L1041" i="40"/>
  <c r="K1041" i="40"/>
  <c r="J1041" i="40"/>
  <c r="I1041" i="40"/>
  <c r="S1040" i="40"/>
  <c r="R1040" i="40"/>
  <c r="Q1040" i="40"/>
  <c r="N1040" i="40"/>
  <c r="M1040" i="40"/>
  <c r="L1040" i="40"/>
  <c r="K1040" i="40"/>
  <c r="J1040" i="40"/>
  <c r="I1040" i="40"/>
  <c r="S1039" i="40"/>
  <c r="R1039" i="40"/>
  <c r="Q1039" i="40"/>
  <c r="N1039" i="40"/>
  <c r="M1039" i="40"/>
  <c r="L1039" i="40"/>
  <c r="K1039" i="40"/>
  <c r="J1039" i="40"/>
  <c r="I1039" i="40"/>
  <c r="Q1038" i="40"/>
  <c r="J1038" i="40"/>
  <c r="I1038" i="40"/>
  <c r="S1036" i="40"/>
  <c r="R1036" i="40"/>
  <c r="Q1036" i="40"/>
  <c r="N1036" i="40"/>
  <c r="M1036" i="40"/>
  <c r="L1036" i="40"/>
  <c r="K1036" i="40"/>
  <c r="J1036" i="40"/>
  <c r="I1036" i="40"/>
  <c r="S1035" i="40"/>
  <c r="R1035" i="40"/>
  <c r="Q1035" i="40"/>
  <c r="N1035" i="40"/>
  <c r="M1035" i="40"/>
  <c r="L1035" i="40"/>
  <c r="K1035" i="40"/>
  <c r="J1035" i="40"/>
  <c r="I1035" i="40"/>
  <c r="S1034" i="40"/>
  <c r="R1034" i="40"/>
  <c r="Q1034" i="40"/>
  <c r="N1034" i="40"/>
  <c r="M1034" i="40"/>
  <c r="L1034" i="40"/>
  <c r="K1034" i="40"/>
  <c r="J1034" i="40"/>
  <c r="I1034" i="40"/>
  <c r="S1033" i="40"/>
  <c r="R1033" i="40"/>
  <c r="Q1033" i="40"/>
  <c r="N1033" i="40"/>
  <c r="M1033" i="40"/>
  <c r="L1033" i="40"/>
  <c r="K1033" i="40"/>
  <c r="J1033" i="40"/>
  <c r="I1033" i="40"/>
  <c r="S1032" i="40"/>
  <c r="R1032" i="40"/>
  <c r="Q1032" i="40"/>
  <c r="N1032" i="40"/>
  <c r="M1032" i="40"/>
  <c r="L1032" i="40"/>
  <c r="K1032" i="40"/>
  <c r="J1032" i="40"/>
  <c r="I1032" i="40"/>
  <c r="S1031" i="40"/>
  <c r="R1031" i="40"/>
  <c r="Q1031" i="40"/>
  <c r="N1031" i="40"/>
  <c r="M1031" i="40"/>
  <c r="L1031" i="40"/>
  <c r="K1031" i="40"/>
  <c r="J1031" i="40"/>
  <c r="I1031" i="40"/>
  <c r="S1030" i="40"/>
  <c r="R1030" i="40"/>
  <c r="Q1030" i="40"/>
  <c r="N1030" i="40"/>
  <c r="M1030" i="40"/>
  <c r="L1030" i="40"/>
  <c r="K1030" i="40"/>
  <c r="J1030" i="40"/>
  <c r="I1030" i="40"/>
  <c r="S1029" i="40"/>
  <c r="R1029" i="40"/>
  <c r="Q1029" i="40"/>
  <c r="N1029" i="40"/>
  <c r="M1029" i="40"/>
  <c r="L1029" i="40"/>
  <c r="K1029" i="40"/>
  <c r="J1029" i="40"/>
  <c r="I1029" i="40"/>
  <c r="S1028" i="40"/>
  <c r="R1028" i="40"/>
  <c r="Q1028" i="40"/>
  <c r="N1028" i="40"/>
  <c r="M1028" i="40"/>
  <c r="L1028" i="40"/>
  <c r="K1028" i="40"/>
  <c r="J1028" i="40"/>
  <c r="I1028" i="40"/>
  <c r="S1027" i="40"/>
  <c r="R1027" i="40"/>
  <c r="Q1027" i="40"/>
  <c r="N1027" i="40"/>
  <c r="M1027" i="40"/>
  <c r="L1027" i="40"/>
  <c r="K1027" i="40"/>
  <c r="J1027" i="40"/>
  <c r="I1027" i="40"/>
  <c r="S1026" i="40"/>
  <c r="R1026" i="40"/>
  <c r="Q1026" i="40"/>
  <c r="N1026" i="40"/>
  <c r="M1026" i="40"/>
  <c r="L1026" i="40"/>
  <c r="K1026" i="40"/>
  <c r="J1026" i="40"/>
  <c r="I1026" i="40"/>
  <c r="S1025" i="40"/>
  <c r="R1025" i="40"/>
  <c r="Q1025" i="40"/>
  <c r="N1025" i="40"/>
  <c r="M1025" i="40"/>
  <c r="L1025" i="40"/>
  <c r="K1025" i="40"/>
  <c r="J1025" i="40"/>
  <c r="I1025" i="40"/>
  <c r="S1024" i="40"/>
  <c r="R1024" i="40"/>
  <c r="Q1024" i="40"/>
  <c r="N1024" i="40"/>
  <c r="M1024" i="40"/>
  <c r="L1024" i="40"/>
  <c r="K1024" i="40"/>
  <c r="J1024" i="40"/>
  <c r="I1024" i="40"/>
  <c r="S1023" i="40"/>
  <c r="R1023" i="40"/>
  <c r="Q1023" i="40"/>
  <c r="N1023" i="40"/>
  <c r="M1023" i="40"/>
  <c r="L1023" i="40"/>
  <c r="K1023" i="40"/>
  <c r="J1023" i="40"/>
  <c r="I1023" i="40"/>
  <c r="S1021" i="40"/>
  <c r="R1021" i="40"/>
  <c r="Q1021" i="40"/>
  <c r="N1021" i="40"/>
  <c r="M1021" i="40"/>
  <c r="L1021" i="40"/>
  <c r="K1021" i="40"/>
  <c r="J1021" i="40"/>
  <c r="I1021" i="40"/>
  <c r="S1020" i="40"/>
  <c r="R1020" i="40"/>
  <c r="Q1020" i="40"/>
  <c r="N1020" i="40"/>
  <c r="M1020" i="40"/>
  <c r="L1020" i="40"/>
  <c r="K1020" i="40"/>
  <c r="J1020" i="40"/>
  <c r="I1020" i="40"/>
  <c r="S1019" i="40"/>
  <c r="R1019" i="40"/>
  <c r="Q1019" i="40"/>
  <c r="N1019" i="40"/>
  <c r="M1019" i="40"/>
  <c r="L1019" i="40"/>
  <c r="K1019" i="40"/>
  <c r="J1019" i="40"/>
  <c r="I1019" i="40"/>
  <c r="S1018" i="40"/>
  <c r="R1018" i="40"/>
  <c r="Q1018" i="40"/>
  <c r="N1018" i="40"/>
  <c r="M1018" i="40"/>
  <c r="L1018" i="40"/>
  <c r="K1018" i="40"/>
  <c r="J1018" i="40"/>
  <c r="I1018" i="40"/>
  <c r="Q1017" i="40"/>
  <c r="J1017" i="40"/>
  <c r="I1017" i="40"/>
  <c r="G859" i="40"/>
  <c r="G858" i="40"/>
  <c r="G857" i="40"/>
  <c r="G856" i="40"/>
  <c r="G855" i="40"/>
  <c r="S880" i="40"/>
  <c r="R880" i="40"/>
  <c r="Q880" i="40"/>
  <c r="N880" i="40"/>
  <c r="M880" i="40"/>
  <c r="L880" i="40"/>
  <c r="K880" i="40"/>
  <c r="J880" i="40"/>
  <c r="I880" i="40"/>
  <c r="S879" i="40"/>
  <c r="R879" i="40"/>
  <c r="Q879" i="40"/>
  <c r="N879" i="40"/>
  <c r="M879" i="40"/>
  <c r="L879" i="40"/>
  <c r="K879" i="40"/>
  <c r="J879" i="40"/>
  <c r="I879" i="40"/>
  <c r="S878" i="40"/>
  <c r="R878" i="40"/>
  <c r="Q878" i="40"/>
  <c r="N878" i="40"/>
  <c r="M878" i="40"/>
  <c r="L878" i="40"/>
  <c r="K878" i="40"/>
  <c r="J878" i="40"/>
  <c r="I878" i="40"/>
  <c r="S877" i="40"/>
  <c r="R877" i="40"/>
  <c r="Q877" i="40"/>
  <c r="N877" i="40"/>
  <c r="M877" i="40"/>
  <c r="L877" i="40"/>
  <c r="K877" i="40"/>
  <c r="J877" i="40"/>
  <c r="I877" i="40"/>
  <c r="Q876" i="40"/>
  <c r="J876" i="40"/>
  <c r="I876" i="40"/>
  <c r="S874" i="40"/>
  <c r="R874" i="40"/>
  <c r="Q874" i="40"/>
  <c r="N874" i="40"/>
  <c r="M874" i="40"/>
  <c r="L874" i="40"/>
  <c r="K874" i="40"/>
  <c r="J874" i="40"/>
  <c r="I874" i="40"/>
  <c r="S873" i="40"/>
  <c r="R873" i="40"/>
  <c r="Q873" i="40"/>
  <c r="N873" i="40"/>
  <c r="M873" i="40"/>
  <c r="L873" i="40"/>
  <c r="K873" i="40"/>
  <c r="J873" i="40"/>
  <c r="I873" i="40"/>
  <c r="S872" i="40"/>
  <c r="R872" i="40"/>
  <c r="Q872" i="40"/>
  <c r="N872" i="40"/>
  <c r="M872" i="40"/>
  <c r="L872" i="40"/>
  <c r="K872" i="40"/>
  <c r="J872" i="40"/>
  <c r="I872" i="40"/>
  <c r="S871" i="40"/>
  <c r="R871" i="40"/>
  <c r="Q871" i="40"/>
  <c r="N871" i="40"/>
  <c r="M871" i="40"/>
  <c r="L871" i="40"/>
  <c r="K871" i="40"/>
  <c r="J871" i="40"/>
  <c r="I871" i="40"/>
  <c r="S870" i="40"/>
  <c r="R870" i="40"/>
  <c r="Q870" i="40"/>
  <c r="N870" i="40"/>
  <c r="M870" i="40"/>
  <c r="L870" i="40"/>
  <c r="K870" i="40"/>
  <c r="J870" i="40"/>
  <c r="I870" i="40"/>
  <c r="S869" i="40"/>
  <c r="R869" i="40"/>
  <c r="Q869" i="40"/>
  <c r="N869" i="40"/>
  <c r="M869" i="40"/>
  <c r="L869" i="40"/>
  <c r="K869" i="40"/>
  <c r="J869" i="40"/>
  <c r="I869" i="40"/>
  <c r="S868" i="40"/>
  <c r="R868" i="40"/>
  <c r="Q868" i="40"/>
  <c r="N868" i="40"/>
  <c r="M868" i="40"/>
  <c r="L868" i="40"/>
  <c r="K868" i="40"/>
  <c r="J868" i="40"/>
  <c r="I868" i="40"/>
  <c r="S867" i="40"/>
  <c r="R867" i="40"/>
  <c r="Q867" i="40"/>
  <c r="N867" i="40"/>
  <c r="M867" i="40"/>
  <c r="L867" i="40"/>
  <c r="K867" i="40"/>
  <c r="J867" i="40"/>
  <c r="I867" i="40"/>
  <c r="S866" i="40"/>
  <c r="R866" i="40"/>
  <c r="Q866" i="40"/>
  <c r="N866" i="40"/>
  <c r="M866" i="40"/>
  <c r="L866" i="40"/>
  <c r="K866" i="40"/>
  <c r="J866" i="40"/>
  <c r="I866" i="40"/>
  <c r="S865" i="40"/>
  <c r="R865" i="40"/>
  <c r="Q865" i="40"/>
  <c r="N865" i="40"/>
  <c r="M865" i="40"/>
  <c r="L865" i="40"/>
  <c r="K865" i="40"/>
  <c r="J865" i="40"/>
  <c r="I865" i="40"/>
  <c r="S864" i="40"/>
  <c r="R864" i="40"/>
  <c r="Q864" i="40"/>
  <c r="N864" i="40"/>
  <c r="M864" i="40"/>
  <c r="L864" i="40"/>
  <c r="K864" i="40"/>
  <c r="J864" i="40"/>
  <c r="I864" i="40"/>
  <c r="S863" i="40"/>
  <c r="R863" i="40"/>
  <c r="Q863" i="40"/>
  <c r="N863" i="40"/>
  <c r="M863" i="40"/>
  <c r="L863" i="40"/>
  <c r="K863" i="40"/>
  <c r="J863" i="40"/>
  <c r="I863" i="40"/>
  <c r="S862" i="40"/>
  <c r="R862" i="40"/>
  <c r="Q862" i="40"/>
  <c r="N862" i="40"/>
  <c r="M862" i="40"/>
  <c r="L862" i="40"/>
  <c r="K862" i="40"/>
  <c r="J862" i="40"/>
  <c r="I862" i="40"/>
  <c r="S861" i="40"/>
  <c r="R861" i="40"/>
  <c r="Q861" i="40"/>
  <c r="N861" i="40"/>
  <c r="M861" i="40"/>
  <c r="L861" i="40"/>
  <c r="K861" i="40"/>
  <c r="J861" i="40"/>
  <c r="I861" i="40"/>
  <c r="S859" i="40"/>
  <c r="R859" i="40"/>
  <c r="Q859" i="40"/>
  <c r="N859" i="40"/>
  <c r="M859" i="40"/>
  <c r="L859" i="40"/>
  <c r="K859" i="40"/>
  <c r="J859" i="40"/>
  <c r="I859" i="40"/>
  <c r="S858" i="40"/>
  <c r="R858" i="40"/>
  <c r="Q858" i="40"/>
  <c r="N858" i="40"/>
  <c r="M858" i="40"/>
  <c r="L858" i="40"/>
  <c r="K858" i="40"/>
  <c r="J858" i="40"/>
  <c r="I858" i="40"/>
  <c r="S857" i="40"/>
  <c r="R857" i="40"/>
  <c r="Q857" i="40"/>
  <c r="N857" i="40"/>
  <c r="M857" i="40"/>
  <c r="L857" i="40"/>
  <c r="K857" i="40"/>
  <c r="J857" i="40"/>
  <c r="I857" i="40"/>
  <c r="S856" i="40"/>
  <c r="R856" i="40"/>
  <c r="Q856" i="40"/>
  <c r="N856" i="40"/>
  <c r="M856" i="40"/>
  <c r="L856" i="40"/>
  <c r="K856" i="40"/>
  <c r="J856" i="40"/>
  <c r="I856" i="40"/>
  <c r="Q855" i="40"/>
  <c r="J855" i="40"/>
  <c r="I855" i="40"/>
  <c r="E855" i="40"/>
  <c r="G805" i="40"/>
  <c r="G804" i="40"/>
  <c r="G803" i="40"/>
  <c r="G802" i="40"/>
  <c r="G801" i="40"/>
  <c r="S826" i="40"/>
  <c r="R826" i="40"/>
  <c r="Q826" i="40"/>
  <c r="N826" i="40"/>
  <c r="M826" i="40"/>
  <c r="L826" i="40"/>
  <c r="K826" i="40"/>
  <c r="J826" i="40"/>
  <c r="I826" i="40"/>
  <c r="S825" i="40"/>
  <c r="R825" i="40"/>
  <c r="Q825" i="40"/>
  <c r="N825" i="40"/>
  <c r="M825" i="40"/>
  <c r="L825" i="40"/>
  <c r="K825" i="40"/>
  <c r="J825" i="40"/>
  <c r="I825" i="40"/>
  <c r="S824" i="40"/>
  <c r="R824" i="40"/>
  <c r="Q824" i="40"/>
  <c r="N824" i="40"/>
  <c r="M824" i="40"/>
  <c r="L824" i="40"/>
  <c r="K824" i="40"/>
  <c r="J824" i="40"/>
  <c r="I824" i="40"/>
  <c r="S823" i="40"/>
  <c r="R823" i="40"/>
  <c r="Q823" i="40"/>
  <c r="N823" i="40"/>
  <c r="M823" i="40"/>
  <c r="L823" i="40"/>
  <c r="K823" i="40"/>
  <c r="J823" i="40"/>
  <c r="I823" i="40"/>
  <c r="Q822" i="40"/>
  <c r="J822" i="40"/>
  <c r="I822" i="40"/>
  <c r="S820" i="40"/>
  <c r="R820" i="40"/>
  <c r="Q820" i="40"/>
  <c r="N820" i="40"/>
  <c r="M820" i="40"/>
  <c r="L820" i="40"/>
  <c r="K820" i="40"/>
  <c r="J820" i="40"/>
  <c r="I820" i="40"/>
  <c r="S819" i="40"/>
  <c r="R819" i="40"/>
  <c r="Q819" i="40"/>
  <c r="N819" i="40"/>
  <c r="M819" i="40"/>
  <c r="L819" i="40"/>
  <c r="K819" i="40"/>
  <c r="J819" i="40"/>
  <c r="I819" i="40"/>
  <c r="S818" i="40"/>
  <c r="R818" i="40"/>
  <c r="Q818" i="40"/>
  <c r="N818" i="40"/>
  <c r="M818" i="40"/>
  <c r="L818" i="40"/>
  <c r="K818" i="40"/>
  <c r="J818" i="40"/>
  <c r="I818" i="40"/>
  <c r="S817" i="40"/>
  <c r="R817" i="40"/>
  <c r="Q817" i="40"/>
  <c r="N817" i="40"/>
  <c r="M817" i="40"/>
  <c r="L817" i="40"/>
  <c r="K817" i="40"/>
  <c r="J817" i="40"/>
  <c r="I817" i="40"/>
  <c r="S816" i="40"/>
  <c r="R816" i="40"/>
  <c r="Q816" i="40"/>
  <c r="N816" i="40"/>
  <c r="M816" i="40"/>
  <c r="L816" i="40"/>
  <c r="K816" i="40"/>
  <c r="J816" i="40"/>
  <c r="I816" i="40"/>
  <c r="S815" i="40"/>
  <c r="R815" i="40"/>
  <c r="Q815" i="40"/>
  <c r="N815" i="40"/>
  <c r="M815" i="40"/>
  <c r="L815" i="40"/>
  <c r="K815" i="40"/>
  <c r="J815" i="40"/>
  <c r="I815" i="40"/>
  <c r="S814" i="40"/>
  <c r="R814" i="40"/>
  <c r="Q814" i="40"/>
  <c r="N814" i="40"/>
  <c r="M814" i="40"/>
  <c r="L814" i="40"/>
  <c r="K814" i="40"/>
  <c r="J814" i="40"/>
  <c r="I814" i="40"/>
  <c r="S813" i="40"/>
  <c r="R813" i="40"/>
  <c r="Q813" i="40"/>
  <c r="N813" i="40"/>
  <c r="M813" i="40"/>
  <c r="L813" i="40"/>
  <c r="K813" i="40"/>
  <c r="J813" i="40"/>
  <c r="I813" i="40"/>
  <c r="S812" i="40"/>
  <c r="R812" i="40"/>
  <c r="Q812" i="40"/>
  <c r="N812" i="40"/>
  <c r="M812" i="40"/>
  <c r="L812" i="40"/>
  <c r="K812" i="40"/>
  <c r="J812" i="40"/>
  <c r="I812" i="40"/>
  <c r="S811" i="40"/>
  <c r="R811" i="40"/>
  <c r="Q811" i="40"/>
  <c r="N811" i="40"/>
  <c r="M811" i="40"/>
  <c r="L811" i="40"/>
  <c r="K811" i="40"/>
  <c r="J811" i="40"/>
  <c r="I811" i="40"/>
  <c r="S810" i="40"/>
  <c r="R810" i="40"/>
  <c r="Q810" i="40"/>
  <c r="N810" i="40"/>
  <c r="M810" i="40"/>
  <c r="L810" i="40"/>
  <c r="K810" i="40"/>
  <c r="J810" i="40"/>
  <c r="I810" i="40"/>
  <c r="S809" i="40"/>
  <c r="R809" i="40"/>
  <c r="Q809" i="40"/>
  <c r="N809" i="40"/>
  <c r="M809" i="40"/>
  <c r="L809" i="40"/>
  <c r="K809" i="40"/>
  <c r="J809" i="40"/>
  <c r="I809" i="40"/>
  <c r="S808" i="40"/>
  <c r="R808" i="40"/>
  <c r="Q808" i="40"/>
  <c r="N808" i="40"/>
  <c r="M808" i="40"/>
  <c r="L808" i="40"/>
  <c r="K808" i="40"/>
  <c r="J808" i="40"/>
  <c r="I808" i="40"/>
  <c r="S807" i="40"/>
  <c r="R807" i="40"/>
  <c r="Q807" i="40"/>
  <c r="N807" i="40"/>
  <c r="M807" i="40"/>
  <c r="L807" i="40"/>
  <c r="K807" i="40"/>
  <c r="J807" i="40"/>
  <c r="I807" i="40"/>
  <c r="S805" i="40"/>
  <c r="R805" i="40"/>
  <c r="Q805" i="40"/>
  <c r="N805" i="40"/>
  <c r="M805" i="40"/>
  <c r="L805" i="40"/>
  <c r="K805" i="40"/>
  <c r="J805" i="40"/>
  <c r="I805" i="40"/>
  <c r="S804" i="40"/>
  <c r="R804" i="40"/>
  <c r="Q804" i="40"/>
  <c r="N804" i="40"/>
  <c r="M804" i="40"/>
  <c r="L804" i="40"/>
  <c r="K804" i="40"/>
  <c r="J804" i="40"/>
  <c r="I804" i="40"/>
  <c r="E804" i="40"/>
  <c r="S803" i="40"/>
  <c r="R803" i="40"/>
  <c r="Q803" i="40"/>
  <c r="N803" i="40"/>
  <c r="M803" i="40"/>
  <c r="L803" i="40"/>
  <c r="K803" i="40"/>
  <c r="J803" i="40"/>
  <c r="I803" i="40"/>
  <c r="E803" i="40"/>
  <c r="S802" i="40"/>
  <c r="R802" i="40"/>
  <c r="Q802" i="40"/>
  <c r="N802" i="40"/>
  <c r="M802" i="40"/>
  <c r="L802" i="40"/>
  <c r="K802" i="40"/>
  <c r="J802" i="40"/>
  <c r="I802" i="40"/>
  <c r="E802" i="40"/>
  <c r="Q801" i="40"/>
  <c r="J801" i="40"/>
  <c r="I801" i="40"/>
  <c r="E801" i="40"/>
  <c r="G751" i="40"/>
  <c r="G750" i="40"/>
  <c r="G749" i="40"/>
  <c r="G748" i="40"/>
  <c r="G747" i="40"/>
  <c r="S772" i="40"/>
  <c r="R772" i="40"/>
  <c r="Q772" i="40"/>
  <c r="N772" i="40"/>
  <c r="M772" i="40"/>
  <c r="L772" i="40"/>
  <c r="K772" i="40"/>
  <c r="J772" i="40"/>
  <c r="I772" i="40"/>
  <c r="S771" i="40"/>
  <c r="R771" i="40"/>
  <c r="Q771" i="40"/>
  <c r="N771" i="40"/>
  <c r="M771" i="40"/>
  <c r="L771" i="40"/>
  <c r="K771" i="40"/>
  <c r="J771" i="40"/>
  <c r="I771" i="40"/>
  <c r="S770" i="40"/>
  <c r="R770" i="40"/>
  <c r="Q770" i="40"/>
  <c r="N770" i="40"/>
  <c r="M770" i="40"/>
  <c r="L770" i="40"/>
  <c r="K770" i="40"/>
  <c r="J770" i="40"/>
  <c r="I770" i="40"/>
  <c r="S769" i="40"/>
  <c r="R769" i="40"/>
  <c r="Q769" i="40"/>
  <c r="N769" i="40"/>
  <c r="M769" i="40"/>
  <c r="L769" i="40"/>
  <c r="K769" i="40"/>
  <c r="J769" i="40"/>
  <c r="I769" i="40"/>
  <c r="Q768" i="40"/>
  <c r="J768" i="40"/>
  <c r="I768" i="40"/>
  <c r="S766" i="40"/>
  <c r="R766" i="40"/>
  <c r="Q766" i="40"/>
  <c r="N766" i="40"/>
  <c r="M766" i="40"/>
  <c r="L766" i="40"/>
  <c r="K766" i="40"/>
  <c r="J766" i="40"/>
  <c r="I766" i="40"/>
  <c r="S765" i="40"/>
  <c r="R765" i="40"/>
  <c r="Q765" i="40"/>
  <c r="N765" i="40"/>
  <c r="M765" i="40"/>
  <c r="L765" i="40"/>
  <c r="K765" i="40"/>
  <c r="J765" i="40"/>
  <c r="I765" i="40"/>
  <c r="S764" i="40"/>
  <c r="R764" i="40"/>
  <c r="Q764" i="40"/>
  <c r="N764" i="40"/>
  <c r="M764" i="40"/>
  <c r="L764" i="40"/>
  <c r="K764" i="40"/>
  <c r="J764" i="40"/>
  <c r="I764" i="40"/>
  <c r="S763" i="40"/>
  <c r="R763" i="40"/>
  <c r="Q763" i="40"/>
  <c r="N763" i="40"/>
  <c r="M763" i="40"/>
  <c r="L763" i="40"/>
  <c r="K763" i="40"/>
  <c r="J763" i="40"/>
  <c r="I763" i="40"/>
  <c r="S762" i="40"/>
  <c r="R762" i="40"/>
  <c r="Q762" i="40"/>
  <c r="N762" i="40"/>
  <c r="M762" i="40"/>
  <c r="L762" i="40"/>
  <c r="K762" i="40"/>
  <c r="J762" i="40"/>
  <c r="I762" i="40"/>
  <c r="S761" i="40"/>
  <c r="R761" i="40"/>
  <c r="Q761" i="40"/>
  <c r="N761" i="40"/>
  <c r="M761" i="40"/>
  <c r="L761" i="40"/>
  <c r="K761" i="40"/>
  <c r="J761" i="40"/>
  <c r="I761" i="40"/>
  <c r="S760" i="40"/>
  <c r="R760" i="40"/>
  <c r="Q760" i="40"/>
  <c r="N760" i="40"/>
  <c r="M760" i="40"/>
  <c r="L760" i="40"/>
  <c r="K760" i="40"/>
  <c r="J760" i="40"/>
  <c r="I760" i="40"/>
  <c r="S759" i="40"/>
  <c r="R759" i="40"/>
  <c r="Q759" i="40"/>
  <c r="N759" i="40"/>
  <c r="M759" i="40"/>
  <c r="L759" i="40"/>
  <c r="K759" i="40"/>
  <c r="J759" i="40"/>
  <c r="I759" i="40"/>
  <c r="S758" i="40"/>
  <c r="R758" i="40"/>
  <c r="Q758" i="40"/>
  <c r="N758" i="40"/>
  <c r="M758" i="40"/>
  <c r="L758" i="40"/>
  <c r="K758" i="40"/>
  <c r="J758" i="40"/>
  <c r="I758" i="40"/>
  <c r="S757" i="40"/>
  <c r="R757" i="40"/>
  <c r="Q757" i="40"/>
  <c r="N757" i="40"/>
  <c r="M757" i="40"/>
  <c r="L757" i="40"/>
  <c r="K757" i="40"/>
  <c r="J757" i="40"/>
  <c r="I757" i="40"/>
  <c r="S756" i="40"/>
  <c r="R756" i="40"/>
  <c r="Q756" i="40"/>
  <c r="N756" i="40"/>
  <c r="M756" i="40"/>
  <c r="L756" i="40"/>
  <c r="K756" i="40"/>
  <c r="J756" i="40"/>
  <c r="I756" i="40"/>
  <c r="S755" i="40"/>
  <c r="R755" i="40"/>
  <c r="Q755" i="40"/>
  <c r="N755" i="40"/>
  <c r="M755" i="40"/>
  <c r="L755" i="40"/>
  <c r="K755" i="40"/>
  <c r="J755" i="40"/>
  <c r="I755" i="40"/>
  <c r="S754" i="40"/>
  <c r="R754" i="40"/>
  <c r="Q754" i="40"/>
  <c r="N754" i="40"/>
  <c r="M754" i="40"/>
  <c r="L754" i="40"/>
  <c r="K754" i="40"/>
  <c r="J754" i="40"/>
  <c r="I754" i="40"/>
  <c r="S753" i="40"/>
  <c r="R753" i="40"/>
  <c r="Q753" i="40"/>
  <c r="N753" i="40"/>
  <c r="M753" i="40"/>
  <c r="L753" i="40"/>
  <c r="K753" i="40"/>
  <c r="J753" i="40"/>
  <c r="I753" i="40"/>
  <c r="S751" i="40"/>
  <c r="R751" i="40"/>
  <c r="Q751" i="40"/>
  <c r="N751" i="40"/>
  <c r="M751" i="40"/>
  <c r="L751" i="40"/>
  <c r="K751" i="40"/>
  <c r="J751" i="40"/>
  <c r="I751" i="40"/>
  <c r="S750" i="40"/>
  <c r="R750" i="40"/>
  <c r="Q750" i="40"/>
  <c r="N750" i="40"/>
  <c r="M750" i="40"/>
  <c r="L750" i="40"/>
  <c r="K750" i="40"/>
  <c r="J750" i="40"/>
  <c r="I750" i="40"/>
  <c r="E750" i="40"/>
  <c r="S749" i="40"/>
  <c r="R749" i="40"/>
  <c r="Q749" i="40"/>
  <c r="N749" i="40"/>
  <c r="M749" i="40"/>
  <c r="L749" i="40"/>
  <c r="K749" i="40"/>
  <c r="J749" i="40"/>
  <c r="I749" i="40"/>
  <c r="E749" i="40"/>
  <c r="S748" i="40"/>
  <c r="R748" i="40"/>
  <c r="Q748" i="40"/>
  <c r="N748" i="40"/>
  <c r="M748" i="40"/>
  <c r="L748" i="40"/>
  <c r="K748" i="40"/>
  <c r="J748" i="40"/>
  <c r="I748" i="40"/>
  <c r="E748" i="40"/>
  <c r="Q747" i="40"/>
  <c r="J747" i="40"/>
  <c r="I747" i="40"/>
  <c r="E747" i="40"/>
  <c r="G670" i="40"/>
  <c r="G669" i="40"/>
  <c r="G668" i="40"/>
  <c r="G667" i="40"/>
  <c r="G666" i="40"/>
  <c r="S691" i="40"/>
  <c r="R691" i="40"/>
  <c r="Q691" i="40"/>
  <c r="N691" i="40"/>
  <c r="M691" i="40"/>
  <c r="L691" i="40"/>
  <c r="K691" i="40"/>
  <c r="J691" i="40"/>
  <c r="I691" i="40"/>
  <c r="S690" i="40"/>
  <c r="R690" i="40"/>
  <c r="Q690" i="40"/>
  <c r="N690" i="40"/>
  <c r="M690" i="40"/>
  <c r="L690" i="40"/>
  <c r="K690" i="40"/>
  <c r="J690" i="40"/>
  <c r="I690" i="40"/>
  <c r="S689" i="40"/>
  <c r="R689" i="40"/>
  <c r="Q689" i="40"/>
  <c r="N689" i="40"/>
  <c r="M689" i="40"/>
  <c r="L689" i="40"/>
  <c r="K689" i="40"/>
  <c r="J689" i="40"/>
  <c r="I689" i="40"/>
  <c r="S688" i="40"/>
  <c r="R688" i="40"/>
  <c r="Q688" i="40"/>
  <c r="N688" i="40"/>
  <c r="M688" i="40"/>
  <c r="L688" i="40"/>
  <c r="K688" i="40"/>
  <c r="J688" i="40"/>
  <c r="I688" i="40"/>
  <c r="Q687" i="40"/>
  <c r="J687" i="40"/>
  <c r="I687" i="40"/>
  <c r="S685" i="40"/>
  <c r="R685" i="40"/>
  <c r="Q685" i="40"/>
  <c r="N685" i="40"/>
  <c r="M685" i="40"/>
  <c r="L685" i="40"/>
  <c r="K685" i="40"/>
  <c r="J685" i="40"/>
  <c r="I685" i="40"/>
  <c r="S684" i="40"/>
  <c r="R684" i="40"/>
  <c r="Q684" i="40"/>
  <c r="N684" i="40"/>
  <c r="M684" i="40"/>
  <c r="L684" i="40"/>
  <c r="K684" i="40"/>
  <c r="J684" i="40"/>
  <c r="I684" i="40"/>
  <c r="S683" i="40"/>
  <c r="R683" i="40"/>
  <c r="Q683" i="40"/>
  <c r="N683" i="40"/>
  <c r="M683" i="40"/>
  <c r="L683" i="40"/>
  <c r="K683" i="40"/>
  <c r="J683" i="40"/>
  <c r="I683" i="40"/>
  <c r="S682" i="40"/>
  <c r="R682" i="40"/>
  <c r="Q682" i="40"/>
  <c r="N682" i="40"/>
  <c r="M682" i="40"/>
  <c r="L682" i="40"/>
  <c r="K682" i="40"/>
  <c r="J682" i="40"/>
  <c r="I682" i="40"/>
  <c r="S681" i="40"/>
  <c r="R681" i="40"/>
  <c r="Q681" i="40"/>
  <c r="N681" i="40"/>
  <c r="M681" i="40"/>
  <c r="L681" i="40"/>
  <c r="K681" i="40"/>
  <c r="J681" i="40"/>
  <c r="I681" i="40"/>
  <c r="S680" i="40"/>
  <c r="R680" i="40"/>
  <c r="Q680" i="40"/>
  <c r="N680" i="40"/>
  <c r="M680" i="40"/>
  <c r="L680" i="40"/>
  <c r="K680" i="40"/>
  <c r="J680" i="40"/>
  <c r="I680" i="40"/>
  <c r="S679" i="40"/>
  <c r="R679" i="40"/>
  <c r="Q679" i="40"/>
  <c r="N679" i="40"/>
  <c r="M679" i="40"/>
  <c r="L679" i="40"/>
  <c r="K679" i="40"/>
  <c r="J679" i="40"/>
  <c r="I679" i="40"/>
  <c r="S678" i="40"/>
  <c r="R678" i="40"/>
  <c r="Q678" i="40"/>
  <c r="N678" i="40"/>
  <c r="M678" i="40"/>
  <c r="L678" i="40"/>
  <c r="K678" i="40"/>
  <c r="J678" i="40"/>
  <c r="I678" i="40"/>
  <c r="S677" i="40"/>
  <c r="R677" i="40"/>
  <c r="Q677" i="40"/>
  <c r="N677" i="40"/>
  <c r="M677" i="40"/>
  <c r="L677" i="40"/>
  <c r="K677" i="40"/>
  <c r="J677" i="40"/>
  <c r="I677" i="40"/>
  <c r="S676" i="40"/>
  <c r="R676" i="40"/>
  <c r="Q676" i="40"/>
  <c r="N676" i="40"/>
  <c r="M676" i="40"/>
  <c r="L676" i="40"/>
  <c r="K676" i="40"/>
  <c r="J676" i="40"/>
  <c r="I676" i="40"/>
  <c r="S675" i="40"/>
  <c r="R675" i="40"/>
  <c r="Q675" i="40"/>
  <c r="N675" i="40"/>
  <c r="M675" i="40"/>
  <c r="L675" i="40"/>
  <c r="K675" i="40"/>
  <c r="J675" i="40"/>
  <c r="I675" i="40"/>
  <c r="S674" i="40"/>
  <c r="R674" i="40"/>
  <c r="Q674" i="40"/>
  <c r="N674" i="40"/>
  <c r="M674" i="40"/>
  <c r="L674" i="40"/>
  <c r="K674" i="40"/>
  <c r="J674" i="40"/>
  <c r="I674" i="40"/>
  <c r="S673" i="40"/>
  <c r="R673" i="40"/>
  <c r="Q673" i="40"/>
  <c r="N673" i="40"/>
  <c r="M673" i="40"/>
  <c r="L673" i="40"/>
  <c r="K673" i="40"/>
  <c r="J673" i="40"/>
  <c r="I673" i="40"/>
  <c r="S672" i="40"/>
  <c r="R672" i="40"/>
  <c r="Q672" i="40"/>
  <c r="N672" i="40"/>
  <c r="M672" i="40"/>
  <c r="L672" i="40"/>
  <c r="K672" i="40"/>
  <c r="J672" i="40"/>
  <c r="I672" i="40"/>
  <c r="S670" i="40"/>
  <c r="R670" i="40"/>
  <c r="Q670" i="40"/>
  <c r="N670" i="40"/>
  <c r="M670" i="40"/>
  <c r="L670" i="40"/>
  <c r="K670" i="40"/>
  <c r="J670" i="40"/>
  <c r="I670" i="40"/>
  <c r="S669" i="40"/>
  <c r="R669" i="40"/>
  <c r="Q669" i="40"/>
  <c r="N669" i="40"/>
  <c r="M669" i="40"/>
  <c r="L669" i="40"/>
  <c r="K669" i="40"/>
  <c r="J669" i="40"/>
  <c r="I669" i="40"/>
  <c r="E669" i="40"/>
  <c r="S668" i="40"/>
  <c r="R668" i="40"/>
  <c r="Q668" i="40"/>
  <c r="N668" i="40"/>
  <c r="M668" i="40"/>
  <c r="L668" i="40"/>
  <c r="K668" i="40"/>
  <c r="J668" i="40"/>
  <c r="I668" i="40"/>
  <c r="E668" i="40"/>
  <c r="S667" i="40"/>
  <c r="R667" i="40"/>
  <c r="Q667" i="40"/>
  <c r="N667" i="40"/>
  <c r="M667" i="40"/>
  <c r="L667" i="40"/>
  <c r="K667" i="40"/>
  <c r="J667" i="40"/>
  <c r="I667" i="40"/>
  <c r="E667" i="40"/>
  <c r="Q666" i="40"/>
  <c r="J666" i="40"/>
  <c r="I666" i="40"/>
  <c r="E666" i="40"/>
  <c r="G562" i="40"/>
  <c r="G561" i="40"/>
  <c r="G560" i="40"/>
  <c r="G559" i="40"/>
  <c r="G558" i="40"/>
  <c r="S583" i="40"/>
  <c r="R583" i="40"/>
  <c r="Q583" i="40"/>
  <c r="N583" i="40"/>
  <c r="M583" i="40"/>
  <c r="L583" i="40"/>
  <c r="K583" i="40"/>
  <c r="J583" i="40"/>
  <c r="I583" i="40"/>
  <c r="S582" i="40"/>
  <c r="R582" i="40"/>
  <c r="Q582" i="40"/>
  <c r="N582" i="40"/>
  <c r="M582" i="40"/>
  <c r="L582" i="40"/>
  <c r="K582" i="40"/>
  <c r="J582" i="40"/>
  <c r="I582" i="40"/>
  <c r="S581" i="40"/>
  <c r="R581" i="40"/>
  <c r="Q581" i="40"/>
  <c r="N581" i="40"/>
  <c r="M581" i="40"/>
  <c r="L581" i="40"/>
  <c r="K581" i="40"/>
  <c r="J581" i="40"/>
  <c r="I581" i="40"/>
  <c r="S580" i="40"/>
  <c r="R580" i="40"/>
  <c r="Q580" i="40"/>
  <c r="N580" i="40"/>
  <c r="M580" i="40"/>
  <c r="L580" i="40"/>
  <c r="K580" i="40"/>
  <c r="J580" i="40"/>
  <c r="I580" i="40"/>
  <c r="Q579" i="40"/>
  <c r="J579" i="40"/>
  <c r="I579" i="40"/>
  <c r="S577" i="40"/>
  <c r="R577" i="40"/>
  <c r="Q577" i="40"/>
  <c r="N577" i="40"/>
  <c r="M577" i="40"/>
  <c r="L577" i="40"/>
  <c r="K577" i="40"/>
  <c r="J577" i="40"/>
  <c r="I577" i="40"/>
  <c r="S576" i="40"/>
  <c r="R576" i="40"/>
  <c r="Q576" i="40"/>
  <c r="N576" i="40"/>
  <c r="M576" i="40"/>
  <c r="L576" i="40"/>
  <c r="K576" i="40"/>
  <c r="J576" i="40"/>
  <c r="I576" i="40"/>
  <c r="S575" i="40"/>
  <c r="R575" i="40"/>
  <c r="Q575" i="40"/>
  <c r="N575" i="40"/>
  <c r="M575" i="40"/>
  <c r="L575" i="40"/>
  <c r="K575" i="40"/>
  <c r="J575" i="40"/>
  <c r="I575" i="40"/>
  <c r="S574" i="40"/>
  <c r="R574" i="40"/>
  <c r="Q574" i="40"/>
  <c r="N574" i="40"/>
  <c r="M574" i="40"/>
  <c r="L574" i="40"/>
  <c r="K574" i="40"/>
  <c r="J574" i="40"/>
  <c r="I574" i="40"/>
  <c r="S573" i="40"/>
  <c r="R573" i="40"/>
  <c r="Q573" i="40"/>
  <c r="N573" i="40"/>
  <c r="M573" i="40"/>
  <c r="L573" i="40"/>
  <c r="K573" i="40"/>
  <c r="J573" i="40"/>
  <c r="I573" i="40"/>
  <c r="S572" i="40"/>
  <c r="R572" i="40"/>
  <c r="Q572" i="40"/>
  <c r="N572" i="40"/>
  <c r="M572" i="40"/>
  <c r="L572" i="40"/>
  <c r="K572" i="40"/>
  <c r="J572" i="40"/>
  <c r="I572" i="40"/>
  <c r="S571" i="40"/>
  <c r="R571" i="40"/>
  <c r="Q571" i="40"/>
  <c r="N571" i="40"/>
  <c r="M571" i="40"/>
  <c r="L571" i="40"/>
  <c r="K571" i="40"/>
  <c r="J571" i="40"/>
  <c r="I571" i="40"/>
  <c r="S570" i="40"/>
  <c r="R570" i="40"/>
  <c r="Q570" i="40"/>
  <c r="N570" i="40"/>
  <c r="M570" i="40"/>
  <c r="L570" i="40"/>
  <c r="K570" i="40"/>
  <c r="J570" i="40"/>
  <c r="I570" i="40"/>
  <c r="S569" i="40"/>
  <c r="R569" i="40"/>
  <c r="Q569" i="40"/>
  <c r="N569" i="40"/>
  <c r="M569" i="40"/>
  <c r="L569" i="40"/>
  <c r="K569" i="40"/>
  <c r="J569" i="40"/>
  <c r="I569" i="40"/>
  <c r="S568" i="40"/>
  <c r="R568" i="40"/>
  <c r="Q568" i="40"/>
  <c r="N568" i="40"/>
  <c r="M568" i="40"/>
  <c r="L568" i="40"/>
  <c r="K568" i="40"/>
  <c r="J568" i="40"/>
  <c r="I568" i="40"/>
  <c r="S567" i="40"/>
  <c r="R567" i="40"/>
  <c r="Q567" i="40"/>
  <c r="N567" i="40"/>
  <c r="M567" i="40"/>
  <c r="L567" i="40"/>
  <c r="K567" i="40"/>
  <c r="J567" i="40"/>
  <c r="I567" i="40"/>
  <c r="S566" i="40"/>
  <c r="R566" i="40"/>
  <c r="Q566" i="40"/>
  <c r="N566" i="40"/>
  <c r="M566" i="40"/>
  <c r="L566" i="40"/>
  <c r="K566" i="40"/>
  <c r="J566" i="40"/>
  <c r="I566" i="40"/>
  <c r="S565" i="40"/>
  <c r="R565" i="40"/>
  <c r="Q565" i="40"/>
  <c r="N565" i="40"/>
  <c r="M565" i="40"/>
  <c r="L565" i="40"/>
  <c r="K565" i="40"/>
  <c r="J565" i="40"/>
  <c r="I565" i="40"/>
  <c r="S564" i="40"/>
  <c r="R564" i="40"/>
  <c r="Q564" i="40"/>
  <c r="N564" i="40"/>
  <c r="M564" i="40"/>
  <c r="L564" i="40"/>
  <c r="K564" i="40"/>
  <c r="J564" i="40"/>
  <c r="I564" i="40"/>
  <c r="S562" i="40"/>
  <c r="R562" i="40"/>
  <c r="Q562" i="40"/>
  <c r="N562" i="40"/>
  <c r="M562" i="40"/>
  <c r="L562" i="40"/>
  <c r="K562" i="40"/>
  <c r="J562" i="40"/>
  <c r="I562" i="40"/>
  <c r="S561" i="40"/>
  <c r="R561" i="40"/>
  <c r="Q561" i="40"/>
  <c r="N561" i="40"/>
  <c r="M561" i="40"/>
  <c r="L561" i="40"/>
  <c r="K561" i="40"/>
  <c r="J561" i="40"/>
  <c r="I561" i="40"/>
  <c r="S560" i="40"/>
  <c r="R560" i="40"/>
  <c r="Q560" i="40"/>
  <c r="N560" i="40"/>
  <c r="M560" i="40"/>
  <c r="L560" i="40"/>
  <c r="K560" i="40"/>
  <c r="J560" i="40"/>
  <c r="I560" i="40"/>
  <c r="S559" i="40"/>
  <c r="R559" i="40"/>
  <c r="Q559" i="40"/>
  <c r="N559" i="40"/>
  <c r="M559" i="40"/>
  <c r="L559" i="40"/>
  <c r="K559" i="40"/>
  <c r="J559" i="40"/>
  <c r="I559" i="40"/>
  <c r="Q558" i="40"/>
  <c r="J558" i="40"/>
  <c r="I558" i="40"/>
  <c r="G396" i="40"/>
  <c r="S421" i="40"/>
  <c r="R421" i="40"/>
  <c r="Q421" i="40"/>
  <c r="N421" i="40"/>
  <c r="M421" i="40"/>
  <c r="L421" i="40"/>
  <c r="K421" i="40"/>
  <c r="J421" i="40"/>
  <c r="I421" i="40"/>
  <c r="S420" i="40"/>
  <c r="R420" i="40"/>
  <c r="Q420" i="40"/>
  <c r="N420" i="40"/>
  <c r="M420" i="40"/>
  <c r="L420" i="40"/>
  <c r="K420" i="40"/>
  <c r="J420" i="40"/>
  <c r="I420" i="40"/>
  <c r="S419" i="40"/>
  <c r="R419" i="40"/>
  <c r="Q419" i="40"/>
  <c r="N419" i="40"/>
  <c r="M419" i="40"/>
  <c r="L419" i="40"/>
  <c r="K419" i="40"/>
  <c r="J419" i="40"/>
  <c r="I419" i="40"/>
  <c r="S418" i="40"/>
  <c r="R418" i="40"/>
  <c r="Q418" i="40"/>
  <c r="N418" i="40"/>
  <c r="M418" i="40"/>
  <c r="L418" i="40"/>
  <c r="K418" i="40"/>
  <c r="J418" i="40"/>
  <c r="I418" i="40"/>
  <c r="Q417" i="40"/>
  <c r="J417" i="40"/>
  <c r="I417" i="40"/>
  <c r="S415" i="40"/>
  <c r="R415" i="40"/>
  <c r="Q415" i="40"/>
  <c r="N415" i="40"/>
  <c r="M415" i="40"/>
  <c r="L415" i="40"/>
  <c r="K415" i="40"/>
  <c r="J415" i="40"/>
  <c r="I415" i="40"/>
  <c r="S414" i="40"/>
  <c r="R414" i="40"/>
  <c r="Q414" i="40"/>
  <c r="N414" i="40"/>
  <c r="M414" i="40"/>
  <c r="L414" i="40"/>
  <c r="K414" i="40"/>
  <c r="J414" i="40"/>
  <c r="I414" i="40"/>
  <c r="S413" i="40"/>
  <c r="R413" i="40"/>
  <c r="Q413" i="40"/>
  <c r="N413" i="40"/>
  <c r="M413" i="40"/>
  <c r="L413" i="40"/>
  <c r="K413" i="40"/>
  <c r="J413" i="40"/>
  <c r="I413" i="40"/>
  <c r="S412" i="40"/>
  <c r="R412" i="40"/>
  <c r="Q412" i="40"/>
  <c r="N412" i="40"/>
  <c r="M412" i="40"/>
  <c r="L412" i="40"/>
  <c r="K412" i="40"/>
  <c r="J412" i="40"/>
  <c r="I412" i="40"/>
  <c r="S411" i="40"/>
  <c r="R411" i="40"/>
  <c r="Q411" i="40"/>
  <c r="N411" i="40"/>
  <c r="M411" i="40"/>
  <c r="L411" i="40"/>
  <c r="K411" i="40"/>
  <c r="J411" i="40"/>
  <c r="I411" i="40"/>
  <c r="S410" i="40"/>
  <c r="R410" i="40"/>
  <c r="Q410" i="40"/>
  <c r="N410" i="40"/>
  <c r="M410" i="40"/>
  <c r="L410" i="40"/>
  <c r="K410" i="40"/>
  <c r="J410" i="40"/>
  <c r="I410" i="40"/>
  <c r="S409" i="40"/>
  <c r="R409" i="40"/>
  <c r="Q409" i="40"/>
  <c r="N409" i="40"/>
  <c r="M409" i="40"/>
  <c r="L409" i="40"/>
  <c r="K409" i="40"/>
  <c r="J409" i="40"/>
  <c r="I409" i="40"/>
  <c r="S408" i="40"/>
  <c r="R408" i="40"/>
  <c r="Q408" i="40"/>
  <c r="N408" i="40"/>
  <c r="M408" i="40"/>
  <c r="L408" i="40"/>
  <c r="K408" i="40"/>
  <c r="J408" i="40"/>
  <c r="I408" i="40"/>
  <c r="S407" i="40"/>
  <c r="R407" i="40"/>
  <c r="Q407" i="40"/>
  <c r="N407" i="40"/>
  <c r="M407" i="40"/>
  <c r="L407" i="40"/>
  <c r="K407" i="40"/>
  <c r="J407" i="40"/>
  <c r="I407" i="40"/>
  <c r="S406" i="40"/>
  <c r="R406" i="40"/>
  <c r="Q406" i="40"/>
  <c r="N406" i="40"/>
  <c r="M406" i="40"/>
  <c r="L406" i="40"/>
  <c r="K406" i="40"/>
  <c r="J406" i="40"/>
  <c r="I406" i="40"/>
  <c r="S405" i="40"/>
  <c r="R405" i="40"/>
  <c r="Q405" i="40"/>
  <c r="N405" i="40"/>
  <c r="M405" i="40"/>
  <c r="L405" i="40"/>
  <c r="K405" i="40"/>
  <c r="J405" i="40"/>
  <c r="I405" i="40"/>
  <c r="S404" i="40"/>
  <c r="R404" i="40"/>
  <c r="Q404" i="40"/>
  <c r="N404" i="40"/>
  <c r="M404" i="40"/>
  <c r="L404" i="40"/>
  <c r="K404" i="40"/>
  <c r="J404" i="40"/>
  <c r="I404" i="40"/>
  <c r="S403" i="40"/>
  <c r="R403" i="40"/>
  <c r="Q403" i="40"/>
  <c r="N403" i="40"/>
  <c r="M403" i="40"/>
  <c r="L403" i="40"/>
  <c r="K403" i="40"/>
  <c r="J403" i="40"/>
  <c r="I403" i="40"/>
  <c r="S402" i="40"/>
  <c r="R402" i="40"/>
  <c r="Q402" i="40"/>
  <c r="N402" i="40"/>
  <c r="M402" i="40"/>
  <c r="L402" i="40"/>
  <c r="K402" i="40"/>
  <c r="J402" i="40"/>
  <c r="I402" i="40"/>
  <c r="S400" i="40"/>
  <c r="R400" i="40"/>
  <c r="Q400" i="40"/>
  <c r="N400" i="40"/>
  <c r="M400" i="40"/>
  <c r="L400" i="40"/>
  <c r="K400" i="40"/>
  <c r="J400" i="40"/>
  <c r="I400" i="40"/>
  <c r="G400" i="40"/>
  <c r="S399" i="40"/>
  <c r="R399" i="40"/>
  <c r="Q399" i="40"/>
  <c r="N399" i="40"/>
  <c r="M399" i="40"/>
  <c r="L399" i="40"/>
  <c r="K399" i="40"/>
  <c r="J399" i="40"/>
  <c r="I399" i="40"/>
  <c r="G399" i="40"/>
  <c r="S398" i="40"/>
  <c r="R398" i="40"/>
  <c r="Q398" i="40"/>
  <c r="N398" i="40"/>
  <c r="M398" i="40"/>
  <c r="L398" i="40"/>
  <c r="K398" i="40"/>
  <c r="J398" i="40"/>
  <c r="I398" i="40"/>
  <c r="G398" i="40"/>
  <c r="S397" i="40"/>
  <c r="R397" i="40"/>
  <c r="Q397" i="40"/>
  <c r="N397" i="40"/>
  <c r="M397" i="40"/>
  <c r="L397" i="40"/>
  <c r="K397" i="40"/>
  <c r="J397" i="40"/>
  <c r="I397" i="40"/>
  <c r="G397" i="40"/>
  <c r="Q396" i="40"/>
  <c r="J396" i="40"/>
  <c r="I396" i="40"/>
  <c r="G184" i="40"/>
  <c r="G183" i="40"/>
  <c r="G182" i="40"/>
  <c r="G181" i="40"/>
  <c r="G180" i="40"/>
  <c r="S205" i="40"/>
  <c r="R205" i="40"/>
  <c r="Q205" i="40"/>
  <c r="N205" i="40"/>
  <c r="M205" i="40"/>
  <c r="L205" i="40"/>
  <c r="K205" i="40"/>
  <c r="J205" i="40"/>
  <c r="I205" i="40"/>
  <c r="S204" i="40"/>
  <c r="R204" i="40"/>
  <c r="Q204" i="40"/>
  <c r="N204" i="40"/>
  <c r="M204" i="40"/>
  <c r="L204" i="40"/>
  <c r="K204" i="40"/>
  <c r="J204" i="40"/>
  <c r="I204" i="40"/>
  <c r="S203" i="40"/>
  <c r="R203" i="40"/>
  <c r="Q203" i="40"/>
  <c r="N203" i="40"/>
  <c r="M203" i="40"/>
  <c r="L203" i="40"/>
  <c r="K203" i="40"/>
  <c r="J203" i="40"/>
  <c r="I203" i="40"/>
  <c r="S202" i="40"/>
  <c r="R202" i="40"/>
  <c r="Q202" i="40"/>
  <c r="N202" i="40"/>
  <c r="M202" i="40"/>
  <c r="L202" i="40"/>
  <c r="K202" i="40"/>
  <c r="J202" i="40"/>
  <c r="I202" i="40"/>
  <c r="Q201" i="40"/>
  <c r="J201" i="40"/>
  <c r="I201" i="40"/>
  <c r="S199" i="40"/>
  <c r="R199" i="40"/>
  <c r="Q199" i="40"/>
  <c r="N199" i="40"/>
  <c r="M199" i="40"/>
  <c r="L199" i="40"/>
  <c r="K199" i="40"/>
  <c r="J199" i="40"/>
  <c r="I199" i="40"/>
  <c r="S198" i="40"/>
  <c r="R198" i="40"/>
  <c r="Q198" i="40"/>
  <c r="N198" i="40"/>
  <c r="M198" i="40"/>
  <c r="L198" i="40"/>
  <c r="K198" i="40"/>
  <c r="J198" i="40"/>
  <c r="I198" i="40"/>
  <c r="S197" i="40"/>
  <c r="R197" i="40"/>
  <c r="Q197" i="40"/>
  <c r="N197" i="40"/>
  <c r="M197" i="40"/>
  <c r="L197" i="40"/>
  <c r="K197" i="40"/>
  <c r="J197" i="40"/>
  <c r="I197" i="40"/>
  <c r="S196" i="40"/>
  <c r="R196" i="40"/>
  <c r="Q196" i="40"/>
  <c r="N196" i="40"/>
  <c r="M196" i="40"/>
  <c r="L196" i="40"/>
  <c r="K196" i="40"/>
  <c r="J196" i="40"/>
  <c r="I196" i="40"/>
  <c r="S195" i="40"/>
  <c r="R195" i="40"/>
  <c r="Q195" i="40"/>
  <c r="N195" i="40"/>
  <c r="M195" i="40"/>
  <c r="L195" i="40"/>
  <c r="K195" i="40"/>
  <c r="J195" i="40"/>
  <c r="I195" i="40"/>
  <c r="S194" i="40"/>
  <c r="R194" i="40"/>
  <c r="Q194" i="40"/>
  <c r="N194" i="40"/>
  <c r="M194" i="40"/>
  <c r="L194" i="40"/>
  <c r="K194" i="40"/>
  <c r="J194" i="40"/>
  <c r="I194" i="40"/>
  <c r="S193" i="40"/>
  <c r="R193" i="40"/>
  <c r="Q193" i="40"/>
  <c r="N193" i="40"/>
  <c r="M193" i="40"/>
  <c r="L193" i="40"/>
  <c r="K193" i="40"/>
  <c r="J193" i="40"/>
  <c r="I193" i="40"/>
  <c r="S192" i="40"/>
  <c r="R192" i="40"/>
  <c r="Q192" i="40"/>
  <c r="N192" i="40"/>
  <c r="M192" i="40"/>
  <c r="L192" i="40"/>
  <c r="K192" i="40"/>
  <c r="J192" i="40"/>
  <c r="I192" i="40"/>
  <c r="S191" i="40"/>
  <c r="R191" i="40"/>
  <c r="Q191" i="40"/>
  <c r="N191" i="40"/>
  <c r="M191" i="40"/>
  <c r="L191" i="40"/>
  <c r="K191" i="40"/>
  <c r="J191" i="40"/>
  <c r="I191" i="40"/>
  <c r="S190" i="40"/>
  <c r="R190" i="40"/>
  <c r="Q190" i="40"/>
  <c r="N190" i="40"/>
  <c r="M190" i="40"/>
  <c r="L190" i="40"/>
  <c r="K190" i="40"/>
  <c r="J190" i="40"/>
  <c r="I190" i="40"/>
  <c r="S189" i="40"/>
  <c r="R189" i="40"/>
  <c r="Q189" i="40"/>
  <c r="N189" i="40"/>
  <c r="M189" i="40"/>
  <c r="L189" i="40"/>
  <c r="K189" i="40"/>
  <c r="J189" i="40"/>
  <c r="I189" i="40"/>
  <c r="S188" i="40"/>
  <c r="R188" i="40"/>
  <c r="Q188" i="40"/>
  <c r="N188" i="40"/>
  <c r="M188" i="40"/>
  <c r="L188" i="40"/>
  <c r="K188" i="40"/>
  <c r="J188" i="40"/>
  <c r="I188" i="40"/>
  <c r="S187" i="40"/>
  <c r="R187" i="40"/>
  <c r="Q187" i="40"/>
  <c r="N187" i="40"/>
  <c r="M187" i="40"/>
  <c r="L187" i="40"/>
  <c r="K187" i="40"/>
  <c r="J187" i="40"/>
  <c r="I187" i="40"/>
  <c r="S186" i="40"/>
  <c r="R186" i="40"/>
  <c r="Q186" i="40"/>
  <c r="N186" i="40"/>
  <c r="M186" i="40"/>
  <c r="L186" i="40"/>
  <c r="K186" i="40"/>
  <c r="J186" i="40"/>
  <c r="I186" i="40"/>
  <c r="S184" i="40"/>
  <c r="R184" i="40"/>
  <c r="Q184" i="40"/>
  <c r="N184" i="40"/>
  <c r="M184" i="40"/>
  <c r="L184" i="40"/>
  <c r="K184" i="40"/>
  <c r="J184" i="40"/>
  <c r="I184" i="40"/>
  <c r="S183" i="40"/>
  <c r="R183" i="40"/>
  <c r="Q183" i="40"/>
  <c r="N183" i="40"/>
  <c r="M183" i="40"/>
  <c r="L183" i="40"/>
  <c r="K183" i="40"/>
  <c r="J183" i="40"/>
  <c r="I183" i="40"/>
  <c r="S182" i="40"/>
  <c r="R182" i="40"/>
  <c r="Q182" i="40"/>
  <c r="N182" i="40"/>
  <c r="M182" i="40"/>
  <c r="L182" i="40"/>
  <c r="K182" i="40"/>
  <c r="J182" i="40"/>
  <c r="I182" i="40"/>
  <c r="S181" i="40"/>
  <c r="R181" i="40"/>
  <c r="Q181" i="40"/>
  <c r="N181" i="40"/>
  <c r="M181" i="40"/>
  <c r="L181" i="40"/>
  <c r="K181" i="40"/>
  <c r="J181" i="40"/>
  <c r="I181" i="40"/>
  <c r="Q180" i="40"/>
  <c r="J180" i="40"/>
  <c r="I180" i="40"/>
  <c r="G130" i="40"/>
  <c r="G129" i="40"/>
  <c r="G128" i="40"/>
  <c r="G127" i="40"/>
  <c r="G126" i="40"/>
  <c r="S151" i="40"/>
  <c r="R151" i="40"/>
  <c r="Q151" i="40"/>
  <c r="N151" i="40"/>
  <c r="M151" i="40"/>
  <c r="L151" i="40"/>
  <c r="K151" i="40"/>
  <c r="J151" i="40"/>
  <c r="I151" i="40"/>
  <c r="S150" i="40"/>
  <c r="R150" i="40"/>
  <c r="Q150" i="40"/>
  <c r="N150" i="40"/>
  <c r="M150" i="40"/>
  <c r="L150" i="40"/>
  <c r="K150" i="40"/>
  <c r="J150" i="40"/>
  <c r="I150" i="40"/>
  <c r="S149" i="40"/>
  <c r="R149" i="40"/>
  <c r="Q149" i="40"/>
  <c r="N149" i="40"/>
  <c r="M149" i="40"/>
  <c r="L149" i="40"/>
  <c r="K149" i="40"/>
  <c r="J149" i="40"/>
  <c r="I149" i="40"/>
  <c r="S148" i="40"/>
  <c r="R148" i="40"/>
  <c r="Q148" i="40"/>
  <c r="N148" i="40"/>
  <c r="M148" i="40"/>
  <c r="L148" i="40"/>
  <c r="K148" i="40"/>
  <c r="J148" i="40"/>
  <c r="I148" i="40"/>
  <c r="Q147" i="40"/>
  <c r="J147" i="40"/>
  <c r="I147" i="40"/>
  <c r="S145" i="40"/>
  <c r="R145" i="40"/>
  <c r="Q145" i="40"/>
  <c r="N145" i="40"/>
  <c r="M145" i="40"/>
  <c r="L145" i="40"/>
  <c r="K145" i="40"/>
  <c r="J145" i="40"/>
  <c r="I145" i="40"/>
  <c r="S144" i="40"/>
  <c r="R144" i="40"/>
  <c r="Q144" i="40"/>
  <c r="N144" i="40"/>
  <c r="M144" i="40"/>
  <c r="L144" i="40"/>
  <c r="K144" i="40"/>
  <c r="J144" i="40"/>
  <c r="I144" i="40"/>
  <c r="S143" i="40"/>
  <c r="R143" i="40"/>
  <c r="Q143" i="40"/>
  <c r="N143" i="40"/>
  <c r="M143" i="40"/>
  <c r="L143" i="40"/>
  <c r="K143" i="40"/>
  <c r="J143" i="40"/>
  <c r="I143" i="40"/>
  <c r="S142" i="40"/>
  <c r="R142" i="40"/>
  <c r="Q142" i="40"/>
  <c r="N142" i="40"/>
  <c r="M142" i="40"/>
  <c r="L142" i="40"/>
  <c r="K142" i="40"/>
  <c r="J142" i="40"/>
  <c r="I142" i="40"/>
  <c r="S141" i="40"/>
  <c r="R141" i="40"/>
  <c r="Q141" i="40"/>
  <c r="N141" i="40"/>
  <c r="M141" i="40"/>
  <c r="L141" i="40"/>
  <c r="K141" i="40"/>
  <c r="J141" i="40"/>
  <c r="I141" i="40"/>
  <c r="S140" i="40"/>
  <c r="R140" i="40"/>
  <c r="Q140" i="40"/>
  <c r="N140" i="40"/>
  <c r="M140" i="40"/>
  <c r="L140" i="40"/>
  <c r="K140" i="40"/>
  <c r="J140" i="40"/>
  <c r="I140" i="40"/>
  <c r="S139" i="40"/>
  <c r="R139" i="40"/>
  <c r="Q139" i="40"/>
  <c r="N139" i="40"/>
  <c r="M139" i="40"/>
  <c r="L139" i="40"/>
  <c r="K139" i="40"/>
  <c r="J139" i="40"/>
  <c r="I139" i="40"/>
  <c r="S138" i="40"/>
  <c r="R138" i="40"/>
  <c r="Q138" i="40"/>
  <c r="N138" i="40"/>
  <c r="M138" i="40"/>
  <c r="L138" i="40"/>
  <c r="K138" i="40"/>
  <c r="J138" i="40"/>
  <c r="I138" i="40"/>
  <c r="S137" i="40"/>
  <c r="R137" i="40"/>
  <c r="Q137" i="40"/>
  <c r="N137" i="40"/>
  <c r="M137" i="40"/>
  <c r="L137" i="40"/>
  <c r="K137" i="40"/>
  <c r="J137" i="40"/>
  <c r="I137" i="40"/>
  <c r="S136" i="40"/>
  <c r="R136" i="40"/>
  <c r="Q136" i="40"/>
  <c r="N136" i="40"/>
  <c r="M136" i="40"/>
  <c r="L136" i="40"/>
  <c r="K136" i="40"/>
  <c r="J136" i="40"/>
  <c r="I136" i="40"/>
  <c r="S135" i="40"/>
  <c r="R135" i="40"/>
  <c r="Q135" i="40"/>
  <c r="N135" i="40"/>
  <c r="M135" i="40"/>
  <c r="L135" i="40"/>
  <c r="K135" i="40"/>
  <c r="J135" i="40"/>
  <c r="I135" i="40"/>
  <c r="S134" i="40"/>
  <c r="R134" i="40"/>
  <c r="Q134" i="40"/>
  <c r="N134" i="40"/>
  <c r="M134" i="40"/>
  <c r="L134" i="40"/>
  <c r="K134" i="40"/>
  <c r="J134" i="40"/>
  <c r="I134" i="40"/>
  <c r="S133" i="40"/>
  <c r="R133" i="40"/>
  <c r="Q133" i="40"/>
  <c r="N133" i="40"/>
  <c r="M133" i="40"/>
  <c r="L133" i="40"/>
  <c r="K133" i="40"/>
  <c r="J133" i="40"/>
  <c r="I133" i="40"/>
  <c r="S132" i="40"/>
  <c r="R132" i="40"/>
  <c r="Q132" i="40"/>
  <c r="N132" i="40"/>
  <c r="M132" i="40"/>
  <c r="L132" i="40"/>
  <c r="K132" i="40"/>
  <c r="J132" i="40"/>
  <c r="I132" i="40"/>
  <c r="S130" i="40"/>
  <c r="R130" i="40"/>
  <c r="Q130" i="40"/>
  <c r="N130" i="40"/>
  <c r="M130" i="40"/>
  <c r="L130" i="40"/>
  <c r="K130" i="40"/>
  <c r="J130" i="40"/>
  <c r="I130" i="40"/>
  <c r="S129" i="40"/>
  <c r="R129" i="40"/>
  <c r="Q129" i="40"/>
  <c r="N129" i="40"/>
  <c r="M129" i="40"/>
  <c r="L129" i="40"/>
  <c r="K129" i="40"/>
  <c r="J129" i="40"/>
  <c r="I129" i="40"/>
  <c r="S128" i="40"/>
  <c r="R128" i="40"/>
  <c r="Q128" i="40"/>
  <c r="N128" i="40"/>
  <c r="M128" i="40"/>
  <c r="L128" i="40"/>
  <c r="K128" i="40"/>
  <c r="J128" i="40"/>
  <c r="I128" i="40"/>
  <c r="S127" i="40"/>
  <c r="R127" i="40"/>
  <c r="Q127" i="40"/>
  <c r="N127" i="40"/>
  <c r="M127" i="40"/>
  <c r="L127" i="40"/>
  <c r="K127" i="40"/>
  <c r="J127" i="40"/>
  <c r="I127" i="40"/>
  <c r="Q126" i="40"/>
  <c r="J126" i="40"/>
  <c r="I126" i="40"/>
  <c r="S39" i="40"/>
  <c r="R39" i="40"/>
  <c r="Q39" i="40"/>
  <c r="O39" i="40"/>
  <c r="L39" i="40"/>
  <c r="K39" i="40"/>
  <c r="J39" i="40"/>
  <c r="I39" i="40"/>
  <c r="E39" i="40"/>
  <c r="S38" i="40"/>
  <c r="R38" i="40"/>
  <c r="Q38" i="40"/>
  <c r="O38" i="40"/>
  <c r="L38" i="40"/>
  <c r="K38" i="40"/>
  <c r="J38" i="40"/>
  <c r="I38" i="40"/>
  <c r="E38" i="40"/>
  <c r="S32" i="40"/>
  <c r="R32" i="40"/>
  <c r="Q32" i="40"/>
  <c r="O32" i="40"/>
  <c r="L32" i="40"/>
  <c r="K32" i="40"/>
  <c r="J32" i="40"/>
  <c r="I32" i="40"/>
  <c r="E32" i="40"/>
  <c r="S30" i="40"/>
  <c r="R30" i="40"/>
  <c r="Q30" i="40"/>
  <c r="O30" i="40"/>
  <c r="L30" i="40"/>
  <c r="K30" i="40"/>
  <c r="J30" i="40"/>
  <c r="I30" i="40"/>
  <c r="E30" i="40"/>
  <c r="S28" i="40"/>
  <c r="R28" i="40"/>
  <c r="Q28" i="40"/>
  <c r="O28" i="40"/>
  <c r="L28" i="40"/>
  <c r="K28" i="40"/>
  <c r="J28" i="40"/>
  <c r="I28" i="40"/>
  <c r="E28" i="40"/>
  <c r="S25" i="40"/>
  <c r="R25" i="40"/>
  <c r="Q25" i="40"/>
  <c r="O25" i="40"/>
  <c r="L25" i="40"/>
  <c r="K25" i="40"/>
  <c r="J25" i="40"/>
  <c r="I25" i="40"/>
  <c r="E25" i="40"/>
  <c r="S21" i="40"/>
  <c r="R21" i="40"/>
  <c r="Q21" i="40"/>
  <c r="O21" i="40"/>
  <c r="L21" i="40"/>
  <c r="K21" i="40"/>
  <c r="J21" i="40"/>
  <c r="I21" i="40"/>
  <c r="E21" i="40"/>
  <c r="E16" i="40"/>
  <c r="S15" i="40"/>
  <c r="R15" i="40"/>
  <c r="Q15" i="40"/>
  <c r="O15" i="40"/>
  <c r="L15" i="40"/>
  <c r="K15" i="40"/>
  <c r="J15" i="40"/>
  <c r="I15" i="40"/>
  <c r="E15" i="40"/>
  <c r="S7" i="40"/>
  <c r="R7" i="40"/>
  <c r="Q7" i="40"/>
  <c r="O7" i="40"/>
  <c r="L7" i="40"/>
  <c r="K7" i="40"/>
  <c r="J7" i="40"/>
  <c r="I7" i="40"/>
  <c r="E5" i="40"/>
  <c r="S5" i="40"/>
  <c r="R5" i="40"/>
  <c r="Q5" i="40"/>
  <c r="O5" i="40"/>
  <c r="L5" i="40"/>
  <c r="K5" i="40"/>
  <c r="J5" i="40"/>
  <c r="I5" i="40"/>
  <c r="J1015" i="40"/>
  <c r="J1014" i="40"/>
  <c r="J1013" i="40"/>
  <c r="J1012" i="40"/>
  <c r="J1011" i="40"/>
  <c r="J1009" i="40"/>
  <c r="J1008" i="40"/>
  <c r="J1007" i="40"/>
  <c r="J1006" i="40"/>
  <c r="J1005" i="40"/>
  <c r="J1004" i="40"/>
  <c r="J1003" i="40"/>
  <c r="J1002" i="40"/>
  <c r="J1001" i="40"/>
  <c r="J1000" i="40"/>
  <c r="J999" i="40"/>
  <c r="J998" i="40"/>
  <c r="J997" i="40"/>
  <c r="J996" i="40"/>
  <c r="J994" i="40"/>
  <c r="J993" i="40"/>
  <c r="J992" i="40"/>
  <c r="J991" i="40"/>
  <c r="J990" i="40"/>
  <c r="J988" i="40"/>
  <c r="J987" i="40"/>
  <c r="J986" i="40"/>
  <c r="J985" i="40"/>
  <c r="J984" i="40"/>
  <c r="J982" i="40"/>
  <c r="J981" i="40"/>
  <c r="J980" i="40"/>
  <c r="J979" i="40"/>
  <c r="J978" i="40"/>
  <c r="J977" i="40"/>
  <c r="J976" i="40"/>
  <c r="J975" i="40"/>
  <c r="J974" i="40"/>
  <c r="J973" i="40"/>
  <c r="J972" i="40"/>
  <c r="J971" i="40"/>
  <c r="J970" i="40"/>
  <c r="J969" i="40"/>
  <c r="J967" i="40"/>
  <c r="J966" i="40"/>
  <c r="J965" i="40"/>
  <c r="J964" i="40"/>
  <c r="J963" i="40"/>
  <c r="J961" i="40"/>
  <c r="J960" i="40"/>
  <c r="J959" i="40"/>
  <c r="J958" i="40"/>
  <c r="J957" i="40"/>
  <c r="J955" i="40"/>
  <c r="J954" i="40"/>
  <c r="J953" i="40"/>
  <c r="J952" i="40"/>
  <c r="J951" i="40"/>
  <c r="J950" i="40"/>
  <c r="J949" i="40"/>
  <c r="J948" i="40"/>
  <c r="J947" i="40"/>
  <c r="J946" i="40"/>
  <c r="J945" i="40"/>
  <c r="J944" i="40"/>
  <c r="J943" i="40"/>
  <c r="J942" i="40"/>
  <c r="J940" i="40"/>
  <c r="J939" i="40"/>
  <c r="J938" i="40"/>
  <c r="J937" i="40"/>
  <c r="J936" i="40"/>
  <c r="J934" i="40"/>
  <c r="J933" i="40"/>
  <c r="J932" i="40"/>
  <c r="J931" i="40"/>
  <c r="J930" i="40"/>
  <c r="J928" i="40"/>
  <c r="J927" i="40"/>
  <c r="J926" i="40"/>
  <c r="J925" i="40"/>
  <c r="J924" i="40"/>
  <c r="J923" i="40"/>
  <c r="J922" i="40"/>
  <c r="J921" i="40"/>
  <c r="J920" i="40"/>
  <c r="J919" i="40"/>
  <c r="J918" i="40"/>
  <c r="J917" i="40"/>
  <c r="J916" i="40"/>
  <c r="J915" i="40"/>
  <c r="J913" i="40"/>
  <c r="J912" i="40"/>
  <c r="J911" i="40"/>
  <c r="J910" i="40"/>
  <c r="J909" i="40"/>
  <c r="J907" i="40"/>
  <c r="J906" i="40"/>
  <c r="J905" i="40"/>
  <c r="J904" i="40"/>
  <c r="J903" i="40"/>
  <c r="J901" i="40"/>
  <c r="J900" i="40"/>
  <c r="J899" i="40"/>
  <c r="J898" i="40"/>
  <c r="J897" i="40"/>
  <c r="J896" i="40"/>
  <c r="J895" i="40"/>
  <c r="J894" i="40"/>
  <c r="J893" i="40"/>
  <c r="J892" i="40"/>
  <c r="J891" i="40"/>
  <c r="J890" i="40"/>
  <c r="J889" i="40"/>
  <c r="J888" i="40"/>
  <c r="J886" i="40"/>
  <c r="J885" i="40"/>
  <c r="J884" i="40"/>
  <c r="J883" i="40"/>
  <c r="J882" i="40"/>
  <c r="J853" i="40"/>
  <c r="J852" i="40"/>
  <c r="J851" i="40"/>
  <c r="J850" i="40"/>
  <c r="J849" i="40"/>
  <c r="J847" i="40"/>
  <c r="J846" i="40"/>
  <c r="J845" i="40"/>
  <c r="J844" i="40"/>
  <c r="J843" i="40"/>
  <c r="J842" i="40"/>
  <c r="J841" i="40"/>
  <c r="J840" i="40"/>
  <c r="J839" i="40"/>
  <c r="J838" i="40"/>
  <c r="J837" i="40"/>
  <c r="J836" i="40"/>
  <c r="J835" i="40"/>
  <c r="J834" i="40"/>
  <c r="J832" i="40"/>
  <c r="J831" i="40"/>
  <c r="J830" i="40"/>
  <c r="J829" i="40"/>
  <c r="J828" i="40"/>
  <c r="J799" i="40"/>
  <c r="J798" i="40"/>
  <c r="J797" i="40"/>
  <c r="J796" i="40"/>
  <c r="J795" i="40"/>
  <c r="J793" i="40"/>
  <c r="J792" i="40"/>
  <c r="J791" i="40"/>
  <c r="J790" i="40"/>
  <c r="J789" i="40"/>
  <c r="J788" i="40"/>
  <c r="J787" i="40"/>
  <c r="J786" i="40"/>
  <c r="J785" i="40"/>
  <c r="J784" i="40"/>
  <c r="J783" i="40"/>
  <c r="J782" i="40"/>
  <c r="J781" i="40"/>
  <c r="J780" i="40"/>
  <c r="J778" i="40"/>
  <c r="J777" i="40"/>
  <c r="J776" i="40"/>
  <c r="J775" i="40"/>
  <c r="J774" i="40"/>
  <c r="J664" i="40"/>
  <c r="J663" i="40"/>
  <c r="J662" i="40"/>
  <c r="J661" i="40"/>
  <c r="J660" i="40"/>
  <c r="J658" i="40"/>
  <c r="J657" i="40"/>
  <c r="J656" i="40"/>
  <c r="J655" i="40"/>
  <c r="J654" i="40"/>
  <c r="J653" i="40"/>
  <c r="J652" i="40"/>
  <c r="J651" i="40"/>
  <c r="J650" i="40"/>
  <c r="J649" i="40"/>
  <c r="J648" i="40"/>
  <c r="J647" i="40"/>
  <c r="J646" i="40"/>
  <c r="J645" i="40"/>
  <c r="J643" i="40"/>
  <c r="J642" i="40"/>
  <c r="J641" i="40"/>
  <c r="J640" i="40"/>
  <c r="J639" i="40"/>
  <c r="J637" i="40"/>
  <c r="J636" i="40"/>
  <c r="J635" i="40"/>
  <c r="J634" i="40"/>
  <c r="J633" i="40"/>
  <c r="J631" i="40"/>
  <c r="J630" i="40"/>
  <c r="J629" i="40"/>
  <c r="J628" i="40"/>
  <c r="J627" i="40"/>
  <c r="J626" i="40"/>
  <c r="J625" i="40"/>
  <c r="J624" i="40"/>
  <c r="J623" i="40"/>
  <c r="J622" i="40"/>
  <c r="J621" i="40"/>
  <c r="J620" i="40"/>
  <c r="J619" i="40"/>
  <c r="J618" i="40"/>
  <c r="J616" i="40"/>
  <c r="J615" i="40"/>
  <c r="J614" i="40"/>
  <c r="J613" i="40"/>
  <c r="J612" i="40"/>
  <c r="J610" i="40"/>
  <c r="J609" i="40"/>
  <c r="J608" i="40"/>
  <c r="J607" i="40"/>
  <c r="J606" i="40"/>
  <c r="J604" i="40"/>
  <c r="J603" i="40"/>
  <c r="J602" i="40"/>
  <c r="J601" i="40"/>
  <c r="J600" i="40"/>
  <c r="J599" i="40"/>
  <c r="J598" i="40"/>
  <c r="J597" i="40"/>
  <c r="J596" i="40"/>
  <c r="J595" i="40"/>
  <c r="J594" i="40"/>
  <c r="J593" i="40"/>
  <c r="J592" i="40"/>
  <c r="J591" i="40"/>
  <c r="J589" i="40"/>
  <c r="J588" i="40"/>
  <c r="J587" i="40"/>
  <c r="J586" i="40"/>
  <c r="J585" i="40"/>
  <c r="J556" i="40"/>
  <c r="J555" i="40"/>
  <c r="J554" i="40"/>
  <c r="J553" i="40"/>
  <c r="J552" i="40"/>
  <c r="J550" i="40"/>
  <c r="J549" i="40"/>
  <c r="J548" i="40"/>
  <c r="J547" i="40"/>
  <c r="J546" i="40"/>
  <c r="J545" i="40"/>
  <c r="J544" i="40"/>
  <c r="J543" i="40"/>
  <c r="J542" i="40"/>
  <c r="J541" i="40"/>
  <c r="J540" i="40"/>
  <c r="J539" i="40"/>
  <c r="J538" i="40"/>
  <c r="J537" i="40"/>
  <c r="J535" i="40"/>
  <c r="J534" i="40"/>
  <c r="J533" i="40"/>
  <c r="J532" i="40"/>
  <c r="J531" i="40"/>
  <c r="J529" i="40"/>
  <c r="J528" i="40"/>
  <c r="J527" i="40"/>
  <c r="J526" i="40"/>
  <c r="J525" i="40"/>
  <c r="J523" i="40"/>
  <c r="J522" i="40"/>
  <c r="J521" i="40"/>
  <c r="J520" i="40"/>
  <c r="J514" i="40"/>
  <c r="J513" i="40"/>
  <c r="J512" i="40"/>
  <c r="J511" i="40"/>
  <c r="J510" i="40"/>
  <c r="J508" i="40"/>
  <c r="J507" i="40"/>
  <c r="J506" i="40"/>
  <c r="J505" i="40"/>
  <c r="J504" i="40"/>
  <c r="J394" i="40"/>
  <c r="J393" i="40"/>
  <c r="J392" i="40"/>
  <c r="J391" i="40"/>
  <c r="J390" i="40"/>
  <c r="J388" i="40"/>
  <c r="J387" i="40"/>
  <c r="J386" i="40"/>
  <c r="J385" i="40"/>
  <c r="J379" i="40"/>
  <c r="J378" i="40"/>
  <c r="J377" i="40"/>
  <c r="J376" i="40"/>
  <c r="J375" i="40"/>
  <c r="J373" i="40"/>
  <c r="J372" i="40"/>
  <c r="J371" i="40"/>
  <c r="J370" i="40"/>
  <c r="J369" i="40"/>
  <c r="J367" i="40"/>
  <c r="J366" i="40"/>
  <c r="J365" i="40"/>
  <c r="J364" i="40"/>
  <c r="J363" i="40"/>
  <c r="J361" i="40"/>
  <c r="J360" i="40"/>
  <c r="J359" i="40"/>
  <c r="J358" i="40"/>
  <c r="J352" i="40"/>
  <c r="J351" i="40"/>
  <c r="J350" i="40"/>
  <c r="J349" i="40"/>
  <c r="J348" i="40"/>
  <c r="J346" i="40"/>
  <c r="J345" i="40"/>
  <c r="J344" i="40"/>
  <c r="J343" i="40"/>
  <c r="J342" i="40"/>
  <c r="J259" i="40"/>
  <c r="J258" i="40"/>
  <c r="J257" i="40"/>
  <c r="J256" i="40"/>
  <c r="J255" i="40"/>
  <c r="J253" i="40"/>
  <c r="J252" i="40"/>
  <c r="J251" i="40"/>
  <c r="J250" i="40"/>
  <c r="J244" i="40"/>
  <c r="J243" i="40"/>
  <c r="J242" i="40"/>
  <c r="J241" i="40"/>
  <c r="J240" i="40"/>
  <c r="J238" i="40"/>
  <c r="J237" i="40"/>
  <c r="J236" i="40"/>
  <c r="J235" i="40"/>
  <c r="J234" i="40"/>
  <c r="J11" i="40"/>
  <c r="Q745" i="40"/>
  <c r="Q744" i="40"/>
  <c r="Q743" i="40"/>
  <c r="Q742" i="40"/>
  <c r="Q741" i="40"/>
  <c r="Q739" i="40"/>
  <c r="Q738" i="40"/>
  <c r="Q737" i="40"/>
  <c r="Q736" i="40"/>
  <c r="Q735" i="40"/>
  <c r="Q734" i="40"/>
  <c r="Q733" i="40"/>
  <c r="Q732" i="40"/>
  <c r="Q731" i="40"/>
  <c r="Q730" i="40"/>
  <c r="Q729" i="40"/>
  <c r="Q728" i="40"/>
  <c r="Q727" i="40"/>
  <c r="Q726" i="40"/>
  <c r="Q724" i="40"/>
  <c r="Q723" i="40"/>
  <c r="Q722" i="40"/>
  <c r="Q721" i="40"/>
  <c r="Q720" i="40"/>
  <c r="Q718" i="40"/>
  <c r="Q717" i="40"/>
  <c r="Q716" i="40"/>
  <c r="Q715" i="40"/>
  <c r="Q714" i="40"/>
  <c r="Q712" i="40"/>
  <c r="Q711" i="40"/>
  <c r="Q710" i="40"/>
  <c r="Q709" i="40"/>
  <c r="Q708" i="40"/>
  <c r="Q707" i="40"/>
  <c r="Q706" i="40"/>
  <c r="Q705" i="40"/>
  <c r="Q704" i="40"/>
  <c r="Q703" i="40"/>
  <c r="Q702" i="40"/>
  <c r="Q701" i="40"/>
  <c r="Q700" i="40"/>
  <c r="Q699" i="40"/>
  <c r="Q697" i="40"/>
  <c r="Q696" i="40"/>
  <c r="Q695" i="40"/>
  <c r="Q694" i="40"/>
  <c r="Q693" i="40"/>
  <c r="Q502" i="40"/>
  <c r="Q501" i="40"/>
  <c r="Q500" i="40"/>
  <c r="Q499" i="40"/>
  <c r="Q498" i="40"/>
  <c r="Q496" i="40"/>
  <c r="Q495" i="40"/>
  <c r="Q494" i="40"/>
  <c r="Q493" i="40"/>
  <c r="Q492" i="40"/>
  <c r="Q491" i="40"/>
  <c r="Q490" i="40"/>
  <c r="Q489" i="40"/>
  <c r="Q488" i="40"/>
  <c r="Q487" i="40"/>
  <c r="Q486" i="40"/>
  <c r="Q485" i="40"/>
  <c r="Q484" i="40"/>
  <c r="Q483" i="40"/>
  <c r="M745" i="40"/>
  <c r="M744" i="40"/>
  <c r="M743" i="40"/>
  <c r="M742" i="40"/>
  <c r="M739" i="40"/>
  <c r="M738" i="40"/>
  <c r="M737" i="40"/>
  <c r="M736" i="40"/>
  <c r="M735" i="40"/>
  <c r="M734" i="40"/>
  <c r="M733" i="40"/>
  <c r="M732" i="40"/>
  <c r="M731" i="40"/>
  <c r="M730" i="40"/>
  <c r="M729" i="40"/>
  <c r="M728" i="40"/>
  <c r="M727" i="40"/>
  <c r="M726" i="40"/>
  <c r="M724" i="40"/>
  <c r="M723" i="40"/>
  <c r="M722" i="40"/>
  <c r="M721" i="40"/>
  <c r="M718" i="40"/>
  <c r="M717" i="40"/>
  <c r="M716" i="40"/>
  <c r="M715" i="40"/>
  <c r="M712" i="40"/>
  <c r="M711" i="40"/>
  <c r="M710" i="40"/>
  <c r="M709" i="40"/>
  <c r="M708" i="40"/>
  <c r="M707" i="40"/>
  <c r="M706" i="40"/>
  <c r="M705" i="40"/>
  <c r="M704" i="40"/>
  <c r="M703" i="40"/>
  <c r="M702" i="40"/>
  <c r="M701" i="40"/>
  <c r="M700" i="40"/>
  <c r="M699" i="40"/>
  <c r="M697" i="40"/>
  <c r="M696" i="40"/>
  <c r="M695" i="40"/>
  <c r="M694" i="40"/>
  <c r="M502" i="40"/>
  <c r="M501" i="40"/>
  <c r="M500" i="40"/>
  <c r="M499" i="40"/>
  <c r="M496" i="40"/>
  <c r="M495" i="40"/>
  <c r="M494" i="40"/>
  <c r="M493" i="40"/>
  <c r="M492" i="40"/>
  <c r="M491" i="40"/>
  <c r="M490" i="40"/>
  <c r="M489" i="40"/>
  <c r="M488" i="40"/>
  <c r="M487" i="40"/>
  <c r="M486" i="40"/>
  <c r="M485" i="40"/>
  <c r="M484" i="40"/>
  <c r="M483" i="40"/>
  <c r="M481" i="40"/>
  <c r="M480" i="40"/>
  <c r="M479" i="40"/>
  <c r="M478" i="40"/>
  <c r="M475" i="40"/>
  <c r="M474" i="40"/>
  <c r="M473" i="40"/>
  <c r="M472" i="40"/>
  <c r="M469" i="40"/>
  <c r="M468" i="40"/>
  <c r="M467" i="40"/>
  <c r="M466" i="40"/>
  <c r="M465" i="40"/>
  <c r="M464" i="40"/>
  <c r="M463" i="40"/>
  <c r="M462" i="40"/>
  <c r="M461" i="40"/>
  <c r="M460" i="40"/>
  <c r="M459" i="40"/>
  <c r="M458" i="40"/>
  <c r="M457" i="40"/>
  <c r="M456" i="40"/>
  <c r="M454" i="40"/>
  <c r="M453" i="40"/>
  <c r="M452" i="40"/>
  <c r="M451" i="40"/>
  <c r="M448" i="40"/>
  <c r="M447" i="40"/>
  <c r="M446" i="40"/>
  <c r="M445" i="40"/>
  <c r="M442" i="40"/>
  <c r="M441" i="40"/>
  <c r="M440" i="40"/>
  <c r="M439" i="40"/>
  <c r="M438" i="40"/>
  <c r="M437" i="40"/>
  <c r="M436" i="40"/>
  <c r="M435" i="40"/>
  <c r="M434" i="40"/>
  <c r="M433" i="40"/>
  <c r="M432" i="40"/>
  <c r="M431" i="40"/>
  <c r="M430" i="40"/>
  <c r="M429" i="40"/>
  <c r="M427" i="40"/>
  <c r="M426" i="40"/>
  <c r="M425" i="40"/>
  <c r="M424" i="40"/>
  <c r="M1005" i="40"/>
  <c r="M1004" i="40"/>
  <c r="M1003" i="40"/>
  <c r="M1002" i="40"/>
  <c r="M1001" i="40"/>
  <c r="M978" i="40"/>
  <c r="M977" i="40"/>
  <c r="M976" i="40"/>
  <c r="M975" i="40"/>
  <c r="M974" i="40"/>
  <c r="M951" i="40"/>
  <c r="M950" i="40"/>
  <c r="M949" i="40"/>
  <c r="M948" i="40"/>
  <c r="M947" i="40"/>
  <c r="M924" i="40"/>
  <c r="M923" i="40"/>
  <c r="M922" i="40"/>
  <c r="M921" i="40"/>
  <c r="M920" i="40"/>
  <c r="M897" i="40"/>
  <c r="M896" i="40"/>
  <c r="M895" i="40"/>
  <c r="M894" i="40"/>
  <c r="M893" i="40"/>
  <c r="M843" i="40"/>
  <c r="M842" i="40"/>
  <c r="M841" i="40"/>
  <c r="M840" i="40"/>
  <c r="M839" i="40"/>
  <c r="M789" i="40"/>
  <c r="M788" i="40"/>
  <c r="M787" i="40"/>
  <c r="M786" i="40"/>
  <c r="M785" i="40"/>
  <c r="M654" i="40"/>
  <c r="M653" i="40"/>
  <c r="M652" i="40"/>
  <c r="M651" i="40"/>
  <c r="M650" i="40"/>
  <c r="M627" i="40"/>
  <c r="M626" i="40"/>
  <c r="M625" i="40"/>
  <c r="M624" i="40"/>
  <c r="M623" i="40"/>
  <c r="M600" i="40"/>
  <c r="M599" i="40"/>
  <c r="M598" i="40"/>
  <c r="M597" i="40"/>
  <c r="M596" i="40"/>
  <c r="M546" i="40"/>
  <c r="M545" i="40"/>
  <c r="M544" i="40"/>
  <c r="M543" i="40"/>
  <c r="M542" i="40"/>
  <c r="M519" i="40"/>
  <c r="M518" i="40"/>
  <c r="M517" i="40"/>
  <c r="M516" i="40"/>
  <c r="M515" i="40"/>
  <c r="M384" i="40"/>
  <c r="M383" i="40"/>
  <c r="M382" i="40"/>
  <c r="M381" i="40"/>
  <c r="M380" i="40"/>
  <c r="M357" i="40"/>
  <c r="M356" i="40"/>
  <c r="M355" i="40"/>
  <c r="M354" i="40"/>
  <c r="M353" i="40"/>
  <c r="M340" i="40"/>
  <c r="M339" i="40"/>
  <c r="M338" i="40"/>
  <c r="M337" i="40"/>
  <c r="M334" i="40"/>
  <c r="M333" i="40"/>
  <c r="M332" i="40"/>
  <c r="M331" i="40"/>
  <c r="M330" i="40"/>
  <c r="M329" i="40"/>
  <c r="M328" i="40"/>
  <c r="M327" i="40"/>
  <c r="M326" i="40"/>
  <c r="M325" i="40"/>
  <c r="M324" i="40"/>
  <c r="M323" i="40"/>
  <c r="M322" i="40"/>
  <c r="M321" i="40"/>
  <c r="M319" i="40"/>
  <c r="M318" i="40"/>
  <c r="M317" i="40"/>
  <c r="M316" i="40"/>
  <c r="M313" i="40"/>
  <c r="M312" i="40"/>
  <c r="M311" i="40"/>
  <c r="M310" i="40"/>
  <c r="M307" i="40"/>
  <c r="M306" i="40"/>
  <c r="M305" i="40"/>
  <c r="M304" i="40"/>
  <c r="M303" i="40"/>
  <c r="M302" i="40"/>
  <c r="M301" i="40"/>
  <c r="M300" i="40"/>
  <c r="M299" i="40"/>
  <c r="M298" i="40"/>
  <c r="M297" i="40"/>
  <c r="M296" i="40"/>
  <c r="M295" i="40"/>
  <c r="M294" i="40"/>
  <c r="M292" i="40"/>
  <c r="M291" i="40"/>
  <c r="M290" i="40"/>
  <c r="M289" i="40"/>
  <c r="M286" i="40"/>
  <c r="M285" i="40"/>
  <c r="M284" i="40"/>
  <c r="M283" i="40"/>
  <c r="M280" i="40"/>
  <c r="M279" i="40"/>
  <c r="M278" i="40"/>
  <c r="M277" i="40"/>
  <c r="M276" i="40"/>
  <c r="M275" i="40"/>
  <c r="M274" i="40"/>
  <c r="M273" i="40"/>
  <c r="M272" i="40"/>
  <c r="M271" i="40"/>
  <c r="M270" i="40"/>
  <c r="M269" i="40"/>
  <c r="M268" i="40"/>
  <c r="M267" i="40"/>
  <c r="M265" i="40"/>
  <c r="M264" i="40"/>
  <c r="M263" i="40"/>
  <c r="M262" i="40"/>
  <c r="M249" i="40"/>
  <c r="M248" i="40"/>
  <c r="M247" i="40"/>
  <c r="M246" i="40"/>
  <c r="M245" i="40"/>
  <c r="M232" i="40"/>
  <c r="M231" i="40"/>
  <c r="M230" i="40"/>
  <c r="M229" i="40"/>
  <c r="M226" i="40"/>
  <c r="M225" i="40"/>
  <c r="M224" i="40"/>
  <c r="M223" i="40"/>
  <c r="M222" i="40"/>
  <c r="M221" i="40"/>
  <c r="M220" i="40"/>
  <c r="M219" i="40"/>
  <c r="M218" i="40"/>
  <c r="M217" i="40"/>
  <c r="M216" i="40"/>
  <c r="M215" i="40"/>
  <c r="M214" i="40"/>
  <c r="M213" i="40"/>
  <c r="M211" i="40"/>
  <c r="M210" i="40"/>
  <c r="M209" i="40"/>
  <c r="M208" i="40"/>
  <c r="M178" i="40"/>
  <c r="M177" i="40"/>
  <c r="M176" i="40"/>
  <c r="M175" i="40"/>
  <c r="M172" i="40"/>
  <c r="M171" i="40"/>
  <c r="M170" i="40"/>
  <c r="M169" i="40"/>
  <c r="M168" i="40"/>
  <c r="M167" i="40"/>
  <c r="M166" i="40"/>
  <c r="M165" i="40"/>
  <c r="M164" i="40"/>
  <c r="M163" i="40"/>
  <c r="M162" i="40"/>
  <c r="M161" i="40"/>
  <c r="M160" i="40"/>
  <c r="M159" i="40"/>
  <c r="M157" i="40"/>
  <c r="M156" i="40"/>
  <c r="M155" i="40"/>
  <c r="M154" i="40"/>
  <c r="M153" i="40"/>
  <c r="M124" i="40"/>
  <c r="M123" i="40"/>
  <c r="M122" i="40"/>
  <c r="M121" i="40"/>
  <c r="M118" i="40"/>
  <c r="M117" i="40"/>
  <c r="M116" i="40"/>
  <c r="M115" i="40"/>
  <c r="M114" i="40"/>
  <c r="M113" i="40"/>
  <c r="M112" i="40"/>
  <c r="M111" i="40"/>
  <c r="M110" i="40"/>
  <c r="M109" i="40"/>
  <c r="M108" i="40"/>
  <c r="M107" i="40"/>
  <c r="M106" i="40"/>
  <c r="M105" i="40"/>
  <c r="M103" i="40"/>
  <c r="M102" i="40"/>
  <c r="M101" i="40"/>
  <c r="M100" i="40"/>
  <c r="M97" i="40"/>
  <c r="M96" i="40"/>
  <c r="M95" i="40"/>
  <c r="M94" i="40"/>
  <c r="M91" i="40"/>
  <c r="M90" i="40"/>
  <c r="M89" i="40"/>
  <c r="M88" i="40"/>
  <c r="M87" i="40"/>
  <c r="M86" i="40"/>
  <c r="M85" i="40"/>
  <c r="M84" i="40"/>
  <c r="M83" i="40"/>
  <c r="M82" i="40"/>
  <c r="M81" i="40"/>
  <c r="M80" i="40"/>
  <c r="M79" i="40"/>
  <c r="M78" i="40"/>
  <c r="M76" i="40"/>
  <c r="M75" i="40"/>
  <c r="M74" i="40"/>
  <c r="M73" i="40"/>
  <c r="M70" i="40"/>
  <c r="M69" i="40"/>
  <c r="M68" i="40"/>
  <c r="M67" i="40"/>
  <c r="M64" i="40"/>
  <c r="M63" i="40"/>
  <c r="M62" i="40"/>
  <c r="M61" i="40"/>
  <c r="M60" i="40"/>
  <c r="M59" i="40"/>
  <c r="M58" i="40"/>
  <c r="M57" i="40"/>
  <c r="M56" i="40"/>
  <c r="M55" i="40"/>
  <c r="M54" i="40"/>
  <c r="M53" i="40"/>
  <c r="M52" i="40"/>
  <c r="M51" i="40"/>
  <c r="M49" i="40"/>
  <c r="M48" i="40"/>
  <c r="M47" i="40"/>
  <c r="M46" i="40"/>
  <c r="Q481" i="40"/>
  <c r="Q480" i="40"/>
  <c r="Q479" i="40"/>
  <c r="Q478" i="40"/>
  <c r="Q477" i="40"/>
  <c r="Q475" i="40"/>
  <c r="Q474" i="40"/>
  <c r="Q473" i="40"/>
  <c r="Q472" i="40"/>
  <c r="Q471" i="40"/>
  <c r="Q469" i="40"/>
  <c r="Q468" i="40"/>
  <c r="Q467" i="40"/>
  <c r="Q466" i="40"/>
  <c r="Q465" i="40"/>
  <c r="Q464" i="40"/>
  <c r="Q463" i="40"/>
  <c r="Q462" i="40"/>
  <c r="Q461" i="40"/>
  <c r="Q460" i="40"/>
  <c r="Q459" i="40"/>
  <c r="Q458" i="40"/>
  <c r="Q457" i="40"/>
  <c r="Q456" i="40"/>
  <c r="Q454" i="40"/>
  <c r="Q453" i="40"/>
  <c r="Q452" i="40"/>
  <c r="Q451" i="40"/>
  <c r="Q450" i="40"/>
  <c r="Q448" i="40"/>
  <c r="Q447" i="40"/>
  <c r="Q446" i="40"/>
  <c r="Q445" i="40"/>
  <c r="Q444" i="40"/>
  <c r="Q442" i="40"/>
  <c r="Q441" i="40"/>
  <c r="Q440" i="40"/>
  <c r="Q439" i="40"/>
  <c r="Q438" i="40"/>
  <c r="Q437" i="40"/>
  <c r="Q436" i="40"/>
  <c r="Q435" i="40"/>
  <c r="Q434" i="40"/>
  <c r="Q433" i="40"/>
  <c r="Q432" i="40"/>
  <c r="Q431" i="40"/>
  <c r="Q430" i="40"/>
  <c r="Q429" i="40"/>
  <c r="Q427" i="40"/>
  <c r="Q426" i="40"/>
  <c r="Q425" i="40"/>
  <c r="Q424" i="40"/>
  <c r="Q423" i="40"/>
  <c r="Q1015" i="40"/>
  <c r="Q1014" i="40"/>
  <c r="Q1013" i="40"/>
  <c r="Q1012" i="40"/>
  <c r="Q1011" i="40"/>
  <c r="Q1009" i="40"/>
  <c r="Q1008" i="40"/>
  <c r="Q1007" i="40"/>
  <c r="Q1006" i="40"/>
  <c r="Q1005" i="40"/>
  <c r="Q1004" i="40"/>
  <c r="Q1003" i="40"/>
  <c r="Q1002" i="40"/>
  <c r="Q1001" i="40"/>
  <c r="Q1000" i="40"/>
  <c r="Q999" i="40"/>
  <c r="Q998" i="40"/>
  <c r="Q997" i="40"/>
  <c r="Q996" i="40"/>
  <c r="Q994" i="40"/>
  <c r="Q993" i="40"/>
  <c r="Q992" i="40"/>
  <c r="Q991" i="40"/>
  <c r="Q990" i="40"/>
  <c r="Q988" i="40"/>
  <c r="Q987" i="40"/>
  <c r="Q986" i="40"/>
  <c r="Q985" i="40"/>
  <c r="Q984" i="40"/>
  <c r="Q982" i="40"/>
  <c r="Q981" i="40"/>
  <c r="Q980" i="40"/>
  <c r="Q979" i="40"/>
  <c r="Q978" i="40"/>
  <c r="Q977" i="40"/>
  <c r="Q976" i="40"/>
  <c r="Q975" i="40"/>
  <c r="Q974" i="40"/>
  <c r="Q973" i="40"/>
  <c r="Q972" i="40"/>
  <c r="Q971" i="40"/>
  <c r="Q970" i="40"/>
  <c r="Q969" i="40"/>
  <c r="Q967" i="40"/>
  <c r="Q966" i="40"/>
  <c r="Q965" i="40"/>
  <c r="Q964" i="40"/>
  <c r="Q963" i="40"/>
  <c r="Q961" i="40"/>
  <c r="Q960" i="40"/>
  <c r="Q959" i="40"/>
  <c r="Q958" i="40"/>
  <c r="Q957" i="40"/>
  <c r="Q955" i="40"/>
  <c r="Q954" i="40"/>
  <c r="Q953" i="40"/>
  <c r="Q952" i="40"/>
  <c r="Q951" i="40"/>
  <c r="Q950" i="40"/>
  <c r="Q949" i="40"/>
  <c r="Q948" i="40"/>
  <c r="Q947" i="40"/>
  <c r="Q946" i="40"/>
  <c r="Q945" i="40"/>
  <c r="Q944" i="40"/>
  <c r="Q943" i="40"/>
  <c r="Q942" i="40"/>
  <c r="Q940" i="40"/>
  <c r="Q939" i="40"/>
  <c r="Q938" i="40"/>
  <c r="Q937" i="40"/>
  <c r="Q936" i="40"/>
  <c r="Q934" i="40"/>
  <c r="Q933" i="40"/>
  <c r="Q932" i="40"/>
  <c r="Q931" i="40"/>
  <c r="Q930" i="40"/>
  <c r="Q928" i="40"/>
  <c r="Q927" i="40"/>
  <c r="Q926" i="40"/>
  <c r="Q925" i="40"/>
  <c r="Q924" i="40"/>
  <c r="Q923" i="40"/>
  <c r="Q922" i="40"/>
  <c r="Q921" i="40"/>
  <c r="Q920" i="40"/>
  <c r="Q919" i="40"/>
  <c r="Q918" i="40"/>
  <c r="Q917" i="40"/>
  <c r="Q916" i="40"/>
  <c r="Q915" i="40"/>
  <c r="Q913" i="40"/>
  <c r="Q912" i="40"/>
  <c r="Q911" i="40"/>
  <c r="Q910" i="40"/>
  <c r="Q909" i="40"/>
  <c r="Q907" i="40"/>
  <c r="Q906" i="40"/>
  <c r="Q905" i="40"/>
  <c r="Q904" i="40"/>
  <c r="Q903" i="40"/>
  <c r="Q901" i="40"/>
  <c r="Q900" i="40"/>
  <c r="Q899" i="40"/>
  <c r="Q898" i="40"/>
  <c r="Q897" i="40"/>
  <c r="Q896" i="40"/>
  <c r="Q895" i="40"/>
  <c r="Q894" i="40"/>
  <c r="Q893" i="40"/>
  <c r="Q892" i="40"/>
  <c r="Q891" i="40"/>
  <c r="Q890" i="40"/>
  <c r="Q889" i="40"/>
  <c r="Q888" i="40"/>
  <c r="Q886" i="40"/>
  <c r="Q885" i="40"/>
  <c r="Q884" i="40"/>
  <c r="Q883" i="40"/>
  <c r="Q882" i="40"/>
  <c r="Q853" i="40"/>
  <c r="Q852" i="40"/>
  <c r="Q851" i="40"/>
  <c r="Q850" i="40"/>
  <c r="Q849" i="40"/>
  <c r="Q847" i="40"/>
  <c r="Q846" i="40"/>
  <c r="Q845" i="40"/>
  <c r="Q844" i="40"/>
  <c r="Q843" i="40"/>
  <c r="Q842" i="40"/>
  <c r="Q841" i="40"/>
  <c r="Q840" i="40"/>
  <c r="Q839" i="40"/>
  <c r="Q838" i="40"/>
  <c r="Q837" i="40"/>
  <c r="Q836" i="40"/>
  <c r="Q835" i="40"/>
  <c r="Q834" i="40"/>
  <c r="Q832" i="40"/>
  <c r="Q831" i="40"/>
  <c r="Q830" i="40"/>
  <c r="Q829" i="40"/>
  <c r="Q828" i="40"/>
  <c r="Q799" i="40"/>
  <c r="Q798" i="40"/>
  <c r="Q797" i="40"/>
  <c r="Q796" i="40"/>
  <c r="Q795" i="40"/>
  <c r="Q793" i="40"/>
  <c r="Q792" i="40"/>
  <c r="Q791" i="40"/>
  <c r="Q790" i="40"/>
  <c r="Q789" i="40"/>
  <c r="Q788" i="40"/>
  <c r="Q787" i="40"/>
  <c r="Q786" i="40"/>
  <c r="Q785" i="40"/>
  <c r="Q784" i="40"/>
  <c r="Q783" i="40"/>
  <c r="Q782" i="40"/>
  <c r="Q781" i="40"/>
  <c r="Q780" i="40"/>
  <c r="Q778" i="40"/>
  <c r="Q777" i="40"/>
  <c r="Q776" i="40"/>
  <c r="Q775" i="40"/>
  <c r="Q774" i="40"/>
  <c r="Q663" i="40"/>
  <c r="Q662" i="40"/>
  <c r="Q661" i="40"/>
  <c r="Q660" i="40"/>
  <c r="Q658" i="40"/>
  <c r="Q657" i="40"/>
  <c r="Q656" i="40"/>
  <c r="Q655" i="40"/>
  <c r="Q654" i="40"/>
  <c r="Q653" i="40"/>
  <c r="Q652" i="40"/>
  <c r="Q651" i="40"/>
  <c r="Q650" i="40"/>
  <c r="Q649" i="40"/>
  <c r="Q648" i="40"/>
  <c r="Q647" i="40"/>
  <c r="Q646" i="40"/>
  <c r="Q645" i="40"/>
  <c r="Q643" i="40"/>
  <c r="Q642" i="40"/>
  <c r="Q641" i="40"/>
  <c r="Q640" i="40"/>
  <c r="Q639" i="40"/>
  <c r="Q637" i="40"/>
  <c r="Q636" i="40"/>
  <c r="Q635" i="40"/>
  <c r="Q634" i="40"/>
  <c r="Q633" i="40"/>
  <c r="Q631" i="40"/>
  <c r="Q630" i="40"/>
  <c r="Q629" i="40"/>
  <c r="Q628" i="40"/>
  <c r="Q627" i="40"/>
  <c r="Q626" i="40"/>
  <c r="Q625" i="40"/>
  <c r="Q624" i="40"/>
  <c r="Q623" i="40"/>
  <c r="Q622" i="40"/>
  <c r="Q621" i="40"/>
  <c r="Q620" i="40"/>
  <c r="Q619" i="40"/>
  <c r="Q618" i="40"/>
  <c r="Q616" i="40"/>
  <c r="Q615" i="40"/>
  <c r="Q614" i="40"/>
  <c r="Q613" i="40"/>
  <c r="Q612" i="40"/>
  <c r="Q610" i="40"/>
  <c r="Q609" i="40"/>
  <c r="Q608" i="40"/>
  <c r="Q607" i="40"/>
  <c r="Q606" i="40"/>
  <c r="Q604" i="40"/>
  <c r="Q603" i="40"/>
  <c r="Q602" i="40"/>
  <c r="Q601" i="40"/>
  <c r="Q600" i="40"/>
  <c r="Q599" i="40"/>
  <c r="Q598" i="40"/>
  <c r="Q597" i="40"/>
  <c r="Q596" i="40"/>
  <c r="Q595" i="40"/>
  <c r="Q594" i="40"/>
  <c r="Q593" i="40"/>
  <c r="Q592" i="40"/>
  <c r="Q591" i="40"/>
  <c r="Q589" i="40"/>
  <c r="Q588" i="40"/>
  <c r="Q587" i="40"/>
  <c r="Q586" i="40"/>
  <c r="Q585" i="40"/>
  <c r="Q556" i="40"/>
  <c r="Q555" i="40"/>
  <c r="Q554" i="40"/>
  <c r="Q553" i="40"/>
  <c r="Q552" i="40"/>
  <c r="Q550" i="40"/>
  <c r="Q549" i="40"/>
  <c r="Q548" i="40"/>
  <c r="Q547" i="40"/>
  <c r="Q546" i="40"/>
  <c r="Q545" i="40"/>
  <c r="Q544" i="40"/>
  <c r="Q543" i="40"/>
  <c r="Q542" i="40"/>
  <c r="Q541" i="40"/>
  <c r="Q540" i="40"/>
  <c r="Q539" i="40"/>
  <c r="Q538" i="40"/>
  <c r="Q537" i="40"/>
  <c r="Q535" i="40"/>
  <c r="Q534" i="40"/>
  <c r="Q533" i="40"/>
  <c r="Q532" i="40"/>
  <c r="Q531" i="40"/>
  <c r="Q529" i="40"/>
  <c r="Q528" i="40"/>
  <c r="Q527" i="40"/>
  <c r="Q526" i="40"/>
  <c r="Q525" i="40"/>
  <c r="Q523" i="40"/>
  <c r="Q522" i="40"/>
  <c r="Q521" i="40"/>
  <c r="Q520" i="40"/>
  <c r="Q519" i="40"/>
  <c r="Q518" i="40"/>
  <c r="Q517" i="40"/>
  <c r="Q516" i="40"/>
  <c r="Q515" i="40"/>
  <c r="Q514" i="40"/>
  <c r="Q513" i="40"/>
  <c r="Q512" i="40"/>
  <c r="Q511" i="40"/>
  <c r="Q510" i="40"/>
  <c r="Q508" i="40"/>
  <c r="Q507" i="40"/>
  <c r="Q506" i="40"/>
  <c r="Q505" i="40"/>
  <c r="Q504" i="40"/>
  <c r="Q394" i="40"/>
  <c r="Q393" i="40"/>
  <c r="Q392" i="40"/>
  <c r="Q391" i="40"/>
  <c r="Q390" i="40"/>
  <c r="Q388" i="40"/>
  <c r="Q387" i="40"/>
  <c r="Q386" i="40"/>
  <c r="Q385" i="40"/>
  <c r="Q384" i="40"/>
  <c r="Q383" i="40"/>
  <c r="Q382" i="40"/>
  <c r="Q381" i="40"/>
  <c r="Q380" i="40"/>
  <c r="Q379" i="40"/>
  <c r="Q378" i="40"/>
  <c r="Q377" i="40"/>
  <c r="Q376" i="40"/>
  <c r="Q375" i="40"/>
  <c r="Q373" i="40"/>
  <c r="Q372" i="40"/>
  <c r="Q371" i="40"/>
  <c r="Q370" i="40"/>
  <c r="Q369" i="40"/>
  <c r="Q367" i="40"/>
  <c r="Q366" i="40"/>
  <c r="Q365" i="40"/>
  <c r="Q364" i="40"/>
  <c r="Q363" i="40"/>
  <c r="Q361" i="40"/>
  <c r="Q360" i="40"/>
  <c r="Q359" i="40"/>
  <c r="Q358" i="40"/>
  <c r="Q357" i="40"/>
  <c r="Q356" i="40"/>
  <c r="Q355" i="40"/>
  <c r="Q354" i="40"/>
  <c r="Q353" i="40"/>
  <c r="Q352" i="40"/>
  <c r="Q351" i="40"/>
  <c r="Q350" i="40"/>
  <c r="Q349" i="40"/>
  <c r="Q348" i="40"/>
  <c r="Q346" i="40"/>
  <c r="Q345" i="40"/>
  <c r="Q344" i="40"/>
  <c r="Q343" i="40"/>
  <c r="Q342" i="40"/>
  <c r="Q340" i="40"/>
  <c r="Q339" i="40"/>
  <c r="Q338" i="40"/>
  <c r="Q337" i="40"/>
  <c r="Q336" i="40"/>
  <c r="Q334" i="40"/>
  <c r="Q333" i="40"/>
  <c r="Q332" i="40"/>
  <c r="Q331" i="40"/>
  <c r="Q330" i="40"/>
  <c r="Q329" i="40"/>
  <c r="Q328" i="40"/>
  <c r="Q327" i="40"/>
  <c r="Q326" i="40"/>
  <c r="Q325" i="40"/>
  <c r="Q324" i="40"/>
  <c r="Q323" i="40"/>
  <c r="Q322" i="40"/>
  <c r="Q321" i="40"/>
  <c r="Q319" i="40"/>
  <c r="Q318" i="40"/>
  <c r="Q317" i="40"/>
  <c r="Q316" i="40"/>
  <c r="Q315" i="40"/>
  <c r="Q313" i="40"/>
  <c r="Q312" i="40"/>
  <c r="Q311" i="40"/>
  <c r="Q310" i="40"/>
  <c r="Q309" i="40"/>
  <c r="Q307" i="40"/>
  <c r="Q306" i="40"/>
  <c r="Q305" i="40"/>
  <c r="Q304" i="40"/>
  <c r="Q303" i="40"/>
  <c r="Q302" i="40"/>
  <c r="Q301" i="40"/>
  <c r="Q300" i="40"/>
  <c r="Q299" i="40"/>
  <c r="Q298" i="40"/>
  <c r="Q297" i="40"/>
  <c r="Q296" i="40"/>
  <c r="Q295" i="40"/>
  <c r="Q294" i="40"/>
  <c r="Q292" i="40"/>
  <c r="Q291" i="40"/>
  <c r="Q290" i="40"/>
  <c r="Q289" i="40"/>
  <c r="Q288" i="40"/>
  <c r="Q286" i="40"/>
  <c r="Q285" i="40"/>
  <c r="Q284" i="40"/>
  <c r="Q283" i="40"/>
  <c r="Q282" i="40"/>
  <c r="Q280" i="40"/>
  <c r="Q279" i="40"/>
  <c r="Q278" i="40"/>
  <c r="Q277" i="40"/>
  <c r="Q276" i="40"/>
  <c r="Q275" i="40"/>
  <c r="Q274" i="40"/>
  <c r="Q273" i="40"/>
  <c r="Q272" i="40"/>
  <c r="Q271" i="40"/>
  <c r="Q270" i="40"/>
  <c r="Q269" i="40"/>
  <c r="Q268" i="40"/>
  <c r="Q267" i="40"/>
  <c r="Q265" i="40"/>
  <c r="Q264" i="40"/>
  <c r="Q263" i="40"/>
  <c r="Q262" i="40"/>
  <c r="Q261" i="40"/>
  <c r="Q259" i="40"/>
  <c r="Q258" i="40"/>
  <c r="Q257" i="40"/>
  <c r="Q256" i="40"/>
  <c r="Q255" i="40"/>
  <c r="Q253" i="40"/>
  <c r="Q252" i="40"/>
  <c r="Q251" i="40"/>
  <c r="Q250" i="40"/>
  <c r="Q249" i="40"/>
  <c r="Q248" i="40"/>
  <c r="Q247" i="40"/>
  <c r="Q246" i="40"/>
  <c r="Q245" i="40"/>
  <c r="Q244" i="40"/>
  <c r="Q243" i="40"/>
  <c r="Q242" i="40"/>
  <c r="Q241" i="40"/>
  <c r="Q240" i="40"/>
  <c r="Q238" i="40"/>
  <c r="Q237" i="40"/>
  <c r="Q236" i="40"/>
  <c r="Q235" i="40"/>
  <c r="Q234" i="40"/>
  <c r="Q232" i="40"/>
  <c r="Q231" i="40"/>
  <c r="Q230" i="40"/>
  <c r="Q229" i="40"/>
  <c r="Q228" i="40"/>
  <c r="Q226" i="40"/>
  <c r="Q225" i="40"/>
  <c r="Q224" i="40"/>
  <c r="Q223" i="40"/>
  <c r="Q222" i="40"/>
  <c r="Q221" i="40"/>
  <c r="Q220" i="40"/>
  <c r="Q219" i="40"/>
  <c r="Q218" i="40"/>
  <c r="Q217" i="40"/>
  <c r="Q216" i="40"/>
  <c r="Q215" i="40"/>
  <c r="Q214" i="40"/>
  <c r="Q213" i="40"/>
  <c r="Q211" i="40"/>
  <c r="Q210" i="40"/>
  <c r="Q209" i="40"/>
  <c r="Q208" i="40"/>
  <c r="Q207" i="40"/>
  <c r="Q178" i="40"/>
  <c r="Q177" i="40"/>
  <c r="Q176" i="40"/>
  <c r="Q175" i="40"/>
  <c r="Q174" i="40"/>
  <c r="Q172" i="40"/>
  <c r="Q171" i="40"/>
  <c r="Q170" i="40"/>
  <c r="Q169" i="40"/>
  <c r="Q168" i="40"/>
  <c r="Q167" i="40"/>
  <c r="Q166" i="40"/>
  <c r="Q165" i="40"/>
  <c r="Q164" i="40"/>
  <c r="Q163" i="40"/>
  <c r="Q162" i="40"/>
  <c r="Q161" i="40"/>
  <c r="Q160" i="40"/>
  <c r="Q159" i="40"/>
  <c r="Q157" i="40"/>
  <c r="Q156" i="40"/>
  <c r="Q155" i="40"/>
  <c r="Q154" i="40"/>
  <c r="Q153" i="40"/>
  <c r="Q124" i="40"/>
  <c r="Q123" i="40"/>
  <c r="Q122" i="40"/>
  <c r="Q121" i="40"/>
  <c r="Q120" i="40"/>
  <c r="Q118" i="40"/>
  <c r="Q117" i="40"/>
  <c r="Q116" i="40"/>
  <c r="Q115" i="40"/>
  <c r="Q114" i="40"/>
  <c r="Q113" i="40"/>
  <c r="Q112" i="40"/>
  <c r="Q111" i="40"/>
  <c r="Q110" i="40"/>
  <c r="Q109" i="40"/>
  <c r="Q108" i="40"/>
  <c r="Q107" i="40"/>
  <c r="Q106" i="40"/>
  <c r="Q105" i="40"/>
  <c r="Q103" i="40"/>
  <c r="Q102" i="40"/>
  <c r="Q101" i="40"/>
  <c r="Q100" i="40"/>
  <c r="Q99" i="40"/>
  <c r="Q97" i="40"/>
  <c r="Q96" i="40"/>
  <c r="Q95" i="40"/>
  <c r="Q94" i="40"/>
  <c r="Q93" i="40"/>
  <c r="Q91" i="40"/>
  <c r="Q90" i="40"/>
  <c r="Q89" i="40"/>
  <c r="Q88" i="40"/>
  <c r="Q87" i="40"/>
  <c r="Q86" i="40"/>
  <c r="Q85" i="40"/>
  <c r="Q84" i="40"/>
  <c r="Q83" i="40"/>
  <c r="Q82" i="40"/>
  <c r="Q81" i="40"/>
  <c r="Q80" i="40"/>
  <c r="Q79" i="40"/>
  <c r="Q78" i="40"/>
  <c r="Q76" i="40"/>
  <c r="Q75" i="40"/>
  <c r="Q74" i="40"/>
  <c r="Q73" i="40"/>
  <c r="Q72" i="40"/>
  <c r="Q70" i="40"/>
  <c r="Q69" i="40"/>
  <c r="Q68" i="40"/>
  <c r="Q67" i="40"/>
  <c r="Q66" i="40"/>
  <c r="Q64" i="40"/>
  <c r="Q63" i="40"/>
  <c r="Q62" i="40"/>
  <c r="Q61" i="40"/>
  <c r="Q60" i="40"/>
  <c r="Q59" i="40"/>
  <c r="Q58" i="40"/>
  <c r="Q57" i="40"/>
  <c r="Q56" i="40"/>
  <c r="Q55" i="40"/>
  <c r="Q54" i="40"/>
  <c r="Q53" i="40"/>
  <c r="Q52" i="40"/>
  <c r="Q51" i="40"/>
  <c r="Q49" i="40"/>
  <c r="Q48" i="40"/>
  <c r="Q47" i="40"/>
  <c r="Q46" i="40"/>
  <c r="Q45" i="40"/>
  <c r="Q43" i="40"/>
  <c r="Q41" i="40"/>
  <c r="Q27" i="40"/>
  <c r="Q26" i="40"/>
  <c r="Q18" i="40"/>
  <c r="Q17" i="40"/>
  <c r="Q16" i="40"/>
  <c r="Q37" i="40"/>
  <c r="Q36" i="40"/>
  <c r="Q35" i="40"/>
  <c r="Q34" i="40"/>
  <c r="Q33" i="40"/>
  <c r="Q31" i="40"/>
  <c r="Q29" i="40"/>
  <c r="Q24" i="40"/>
  <c r="Q23" i="40"/>
  <c r="Q22" i="40"/>
  <c r="Q20" i="40"/>
  <c r="Q19" i="40"/>
  <c r="Q14" i="40"/>
  <c r="Q13" i="40"/>
  <c r="Q12" i="40"/>
  <c r="Q11" i="40"/>
  <c r="Q10" i="40"/>
  <c r="Q9" i="40"/>
  <c r="Q8" i="40"/>
  <c r="Q6" i="40"/>
  <c r="Q4" i="40"/>
  <c r="Q3" i="40"/>
  <c r="N745" i="40"/>
  <c r="L745" i="40"/>
  <c r="K745" i="40"/>
  <c r="J745" i="40"/>
  <c r="I745" i="40"/>
  <c r="N744" i="40"/>
  <c r="L744" i="40"/>
  <c r="K744" i="40"/>
  <c r="J744" i="40"/>
  <c r="I744" i="40"/>
  <c r="N743" i="40"/>
  <c r="L743" i="40"/>
  <c r="K743" i="40"/>
  <c r="J743" i="40"/>
  <c r="I743" i="40"/>
  <c r="N742" i="40"/>
  <c r="L742" i="40"/>
  <c r="K742" i="40"/>
  <c r="J742" i="40"/>
  <c r="I742" i="40"/>
  <c r="J741" i="40"/>
  <c r="I741" i="40"/>
  <c r="N739" i="40"/>
  <c r="L739" i="40"/>
  <c r="K739" i="40"/>
  <c r="J739" i="40"/>
  <c r="I739" i="40"/>
  <c r="N738" i="40"/>
  <c r="L738" i="40"/>
  <c r="K738" i="40"/>
  <c r="J738" i="40"/>
  <c r="I738" i="40"/>
  <c r="N737" i="40"/>
  <c r="L737" i="40"/>
  <c r="K737" i="40"/>
  <c r="J737" i="40"/>
  <c r="I737" i="40"/>
  <c r="N736" i="40"/>
  <c r="L736" i="40"/>
  <c r="K736" i="40"/>
  <c r="J736" i="40"/>
  <c r="I736" i="40"/>
  <c r="S735" i="40"/>
  <c r="R735" i="40"/>
  <c r="N735" i="40"/>
  <c r="L735" i="40"/>
  <c r="K735" i="40"/>
  <c r="J735" i="40"/>
  <c r="I735" i="40"/>
  <c r="S734" i="40"/>
  <c r="R734" i="40"/>
  <c r="N734" i="40"/>
  <c r="L734" i="40"/>
  <c r="K734" i="40"/>
  <c r="J734" i="40"/>
  <c r="I734" i="40"/>
  <c r="S733" i="40"/>
  <c r="R733" i="40"/>
  <c r="N733" i="40"/>
  <c r="L733" i="40"/>
  <c r="K733" i="40"/>
  <c r="J733" i="40"/>
  <c r="I733" i="40"/>
  <c r="S732" i="40"/>
  <c r="R732" i="40"/>
  <c r="N732" i="40"/>
  <c r="L732" i="40"/>
  <c r="K732" i="40"/>
  <c r="J732" i="40"/>
  <c r="I732" i="40"/>
  <c r="S731" i="40"/>
  <c r="R731" i="40"/>
  <c r="N731" i="40"/>
  <c r="L731" i="40"/>
  <c r="K731" i="40"/>
  <c r="J731" i="40"/>
  <c r="I731" i="40"/>
  <c r="N730" i="40"/>
  <c r="L730" i="40"/>
  <c r="K730" i="40"/>
  <c r="J730" i="40"/>
  <c r="I730" i="40"/>
  <c r="N729" i="40"/>
  <c r="L729" i="40"/>
  <c r="K729" i="40"/>
  <c r="J729" i="40"/>
  <c r="I729" i="40"/>
  <c r="N728" i="40"/>
  <c r="L728" i="40"/>
  <c r="K728" i="40"/>
  <c r="J728" i="40"/>
  <c r="I728" i="40"/>
  <c r="N727" i="40"/>
  <c r="L727" i="40"/>
  <c r="K727" i="40"/>
  <c r="J727" i="40"/>
  <c r="I727" i="40"/>
  <c r="N726" i="40"/>
  <c r="L726" i="40"/>
  <c r="K726" i="40"/>
  <c r="J726" i="40"/>
  <c r="I726" i="40"/>
  <c r="N724" i="40"/>
  <c r="L724" i="40"/>
  <c r="K724" i="40"/>
  <c r="J724" i="40"/>
  <c r="I724" i="40"/>
  <c r="N723" i="40"/>
  <c r="L723" i="40"/>
  <c r="K723" i="40"/>
  <c r="J723" i="40"/>
  <c r="I723" i="40"/>
  <c r="N722" i="40"/>
  <c r="L722" i="40"/>
  <c r="K722" i="40"/>
  <c r="J722" i="40"/>
  <c r="I722" i="40"/>
  <c r="E722" i="40"/>
  <c r="N721" i="40"/>
  <c r="L721" i="40"/>
  <c r="K721" i="40"/>
  <c r="J721" i="40"/>
  <c r="I721" i="40"/>
  <c r="J720" i="40"/>
  <c r="I720" i="40"/>
  <c r="N718" i="40"/>
  <c r="L718" i="40"/>
  <c r="K718" i="40"/>
  <c r="J718" i="40"/>
  <c r="I718" i="40"/>
  <c r="N717" i="40"/>
  <c r="L717" i="40"/>
  <c r="K717" i="40"/>
  <c r="J717" i="40"/>
  <c r="I717" i="40"/>
  <c r="N716" i="40"/>
  <c r="L716" i="40"/>
  <c r="K716" i="40"/>
  <c r="J716" i="40"/>
  <c r="I716" i="40"/>
  <c r="N715" i="40"/>
  <c r="L715" i="40"/>
  <c r="K715" i="40"/>
  <c r="J715" i="40"/>
  <c r="I715" i="40"/>
  <c r="J714" i="40"/>
  <c r="I714" i="40"/>
  <c r="N712" i="40"/>
  <c r="L712" i="40"/>
  <c r="K712" i="40"/>
  <c r="J712" i="40"/>
  <c r="I712" i="40"/>
  <c r="N711" i="40"/>
  <c r="L711" i="40"/>
  <c r="K711" i="40"/>
  <c r="J711" i="40"/>
  <c r="I711" i="40"/>
  <c r="N710" i="40"/>
  <c r="L710" i="40"/>
  <c r="K710" i="40"/>
  <c r="J710" i="40"/>
  <c r="I710" i="40"/>
  <c r="N709" i="40"/>
  <c r="L709" i="40"/>
  <c r="K709" i="40"/>
  <c r="J709" i="40"/>
  <c r="I709" i="40"/>
  <c r="S708" i="40"/>
  <c r="R708" i="40"/>
  <c r="N708" i="40"/>
  <c r="L708" i="40"/>
  <c r="K708" i="40"/>
  <c r="J708" i="40"/>
  <c r="I708" i="40"/>
  <c r="S707" i="40"/>
  <c r="R707" i="40"/>
  <c r="N707" i="40"/>
  <c r="L707" i="40"/>
  <c r="K707" i="40"/>
  <c r="J707" i="40"/>
  <c r="I707" i="40"/>
  <c r="S706" i="40"/>
  <c r="R706" i="40"/>
  <c r="N706" i="40"/>
  <c r="L706" i="40"/>
  <c r="K706" i="40"/>
  <c r="J706" i="40"/>
  <c r="I706" i="40"/>
  <c r="S705" i="40"/>
  <c r="R705" i="40"/>
  <c r="N705" i="40"/>
  <c r="L705" i="40"/>
  <c r="K705" i="40"/>
  <c r="J705" i="40"/>
  <c r="I705" i="40"/>
  <c r="S704" i="40"/>
  <c r="R704" i="40"/>
  <c r="N704" i="40"/>
  <c r="L704" i="40"/>
  <c r="K704" i="40"/>
  <c r="J704" i="40"/>
  <c r="I704" i="40"/>
  <c r="N703" i="40"/>
  <c r="L703" i="40"/>
  <c r="K703" i="40"/>
  <c r="J703" i="40"/>
  <c r="I703" i="40"/>
  <c r="N702" i="40"/>
  <c r="L702" i="40"/>
  <c r="K702" i="40"/>
  <c r="J702" i="40"/>
  <c r="I702" i="40"/>
  <c r="N701" i="40"/>
  <c r="L701" i="40"/>
  <c r="K701" i="40"/>
  <c r="J701" i="40"/>
  <c r="I701" i="40"/>
  <c r="N700" i="40"/>
  <c r="L700" i="40"/>
  <c r="K700" i="40"/>
  <c r="J700" i="40"/>
  <c r="I700" i="40"/>
  <c r="N699" i="40"/>
  <c r="L699" i="40"/>
  <c r="K699" i="40"/>
  <c r="J699" i="40"/>
  <c r="I699" i="40"/>
  <c r="N697" i="40"/>
  <c r="L697" i="40"/>
  <c r="K697" i="40"/>
  <c r="J697" i="40"/>
  <c r="I697" i="40"/>
  <c r="N696" i="40"/>
  <c r="L696" i="40"/>
  <c r="K696" i="40"/>
  <c r="J696" i="40"/>
  <c r="I696" i="40"/>
  <c r="N695" i="40"/>
  <c r="L695" i="40"/>
  <c r="K695" i="40"/>
  <c r="J695" i="40"/>
  <c r="I695" i="40"/>
  <c r="N694" i="40"/>
  <c r="L694" i="40"/>
  <c r="K694" i="40"/>
  <c r="J694" i="40"/>
  <c r="I694" i="40"/>
  <c r="J693" i="40"/>
  <c r="I693" i="40"/>
  <c r="N502" i="40"/>
  <c r="L502" i="40"/>
  <c r="K502" i="40"/>
  <c r="J502" i="40"/>
  <c r="I502" i="40"/>
  <c r="N501" i="40"/>
  <c r="L501" i="40"/>
  <c r="K501" i="40"/>
  <c r="J501" i="40"/>
  <c r="I501" i="40"/>
  <c r="N500" i="40"/>
  <c r="L500" i="40"/>
  <c r="K500" i="40"/>
  <c r="J500" i="40"/>
  <c r="I500" i="40"/>
  <c r="N499" i="40"/>
  <c r="L499" i="40"/>
  <c r="K499" i="40"/>
  <c r="J499" i="40"/>
  <c r="I499" i="40"/>
  <c r="J498" i="40"/>
  <c r="I498" i="40"/>
  <c r="E498" i="40"/>
  <c r="N496" i="40"/>
  <c r="L496" i="40"/>
  <c r="K496" i="40"/>
  <c r="J496" i="40"/>
  <c r="I496" i="40"/>
  <c r="N495" i="40"/>
  <c r="L495" i="40"/>
  <c r="K495" i="40"/>
  <c r="J495" i="40"/>
  <c r="I495" i="40"/>
  <c r="N494" i="40"/>
  <c r="L494" i="40"/>
  <c r="K494" i="40"/>
  <c r="J494" i="40"/>
  <c r="I494" i="40"/>
  <c r="N493" i="40"/>
  <c r="L493" i="40"/>
  <c r="K493" i="40"/>
  <c r="J493" i="40"/>
  <c r="I493" i="40"/>
  <c r="S492" i="40"/>
  <c r="R492" i="40"/>
  <c r="N492" i="40"/>
  <c r="L492" i="40"/>
  <c r="K492" i="40"/>
  <c r="J492" i="40"/>
  <c r="I492" i="40"/>
  <c r="S491" i="40"/>
  <c r="R491" i="40"/>
  <c r="N491" i="40"/>
  <c r="L491" i="40"/>
  <c r="K491" i="40"/>
  <c r="J491" i="40"/>
  <c r="I491" i="40"/>
  <c r="S490" i="40"/>
  <c r="R490" i="40"/>
  <c r="N490" i="40"/>
  <c r="L490" i="40"/>
  <c r="K490" i="40"/>
  <c r="J490" i="40"/>
  <c r="I490" i="40"/>
  <c r="S489" i="40"/>
  <c r="R489" i="40"/>
  <c r="N489" i="40"/>
  <c r="L489" i="40"/>
  <c r="K489" i="40"/>
  <c r="J489" i="40"/>
  <c r="I489" i="40"/>
  <c r="S488" i="40"/>
  <c r="R488" i="40"/>
  <c r="N488" i="40"/>
  <c r="L488" i="40"/>
  <c r="K488" i="40"/>
  <c r="J488" i="40"/>
  <c r="I488" i="40"/>
  <c r="N487" i="40"/>
  <c r="L487" i="40"/>
  <c r="K487" i="40"/>
  <c r="J487" i="40"/>
  <c r="I487" i="40"/>
  <c r="N486" i="40"/>
  <c r="L486" i="40"/>
  <c r="K486" i="40"/>
  <c r="J486" i="40"/>
  <c r="I486" i="40"/>
  <c r="N485" i="40"/>
  <c r="L485" i="40"/>
  <c r="K485" i="40"/>
  <c r="J485" i="40"/>
  <c r="I485" i="40"/>
  <c r="N484" i="40"/>
  <c r="L484" i="40"/>
  <c r="K484" i="40"/>
  <c r="J484" i="40"/>
  <c r="I484" i="40"/>
  <c r="N483" i="40"/>
  <c r="L483" i="40"/>
  <c r="K483" i="40"/>
  <c r="J483" i="40"/>
  <c r="I483" i="40"/>
  <c r="N481" i="40"/>
  <c r="L481" i="40"/>
  <c r="K481" i="40"/>
  <c r="J481" i="40"/>
  <c r="I481" i="40"/>
  <c r="N480" i="40"/>
  <c r="L480" i="40"/>
  <c r="K480" i="40"/>
  <c r="J480" i="40"/>
  <c r="I480" i="40"/>
  <c r="N479" i="40"/>
  <c r="L479" i="40"/>
  <c r="K479" i="40"/>
  <c r="J479" i="40"/>
  <c r="I479" i="40"/>
  <c r="N478" i="40"/>
  <c r="L478" i="40"/>
  <c r="K478" i="40"/>
  <c r="J478" i="40"/>
  <c r="I478" i="40"/>
  <c r="J477" i="40"/>
  <c r="I477" i="40"/>
  <c r="N475" i="40"/>
  <c r="L475" i="40"/>
  <c r="K475" i="40"/>
  <c r="J475" i="40"/>
  <c r="I475" i="40"/>
  <c r="N474" i="40"/>
  <c r="L474" i="40"/>
  <c r="K474" i="40"/>
  <c r="J474" i="40"/>
  <c r="I474" i="40"/>
  <c r="N473" i="40"/>
  <c r="L473" i="40"/>
  <c r="K473" i="40"/>
  <c r="J473" i="40"/>
  <c r="I473" i="40"/>
  <c r="N472" i="40"/>
  <c r="L472" i="40"/>
  <c r="K472" i="40"/>
  <c r="J472" i="40"/>
  <c r="I472" i="40"/>
  <c r="J471" i="40"/>
  <c r="I471" i="40"/>
  <c r="N469" i="40"/>
  <c r="L469" i="40"/>
  <c r="K469" i="40"/>
  <c r="J469" i="40"/>
  <c r="I469" i="40"/>
  <c r="N468" i="40"/>
  <c r="L468" i="40"/>
  <c r="K468" i="40"/>
  <c r="J468" i="40"/>
  <c r="I468" i="40"/>
  <c r="N467" i="40"/>
  <c r="L467" i="40"/>
  <c r="K467" i="40"/>
  <c r="J467" i="40"/>
  <c r="I467" i="40"/>
  <c r="N466" i="40"/>
  <c r="L466" i="40"/>
  <c r="K466" i="40"/>
  <c r="J466" i="40"/>
  <c r="I466" i="40"/>
  <c r="S465" i="40"/>
  <c r="R465" i="40"/>
  <c r="N465" i="40"/>
  <c r="L465" i="40"/>
  <c r="K465" i="40"/>
  <c r="J465" i="40"/>
  <c r="I465" i="40"/>
  <c r="S464" i="40"/>
  <c r="R464" i="40"/>
  <c r="N464" i="40"/>
  <c r="L464" i="40"/>
  <c r="K464" i="40"/>
  <c r="J464" i="40"/>
  <c r="I464" i="40"/>
  <c r="S463" i="40"/>
  <c r="R463" i="40"/>
  <c r="N463" i="40"/>
  <c r="L463" i="40"/>
  <c r="K463" i="40"/>
  <c r="J463" i="40"/>
  <c r="I463" i="40"/>
  <c r="S462" i="40"/>
  <c r="R462" i="40"/>
  <c r="N462" i="40"/>
  <c r="L462" i="40"/>
  <c r="K462" i="40"/>
  <c r="J462" i="40"/>
  <c r="I462" i="40"/>
  <c r="S461" i="40"/>
  <c r="R461" i="40"/>
  <c r="N461" i="40"/>
  <c r="L461" i="40"/>
  <c r="K461" i="40"/>
  <c r="J461" i="40"/>
  <c r="I461" i="40"/>
  <c r="N460" i="40"/>
  <c r="L460" i="40"/>
  <c r="K460" i="40"/>
  <c r="J460" i="40"/>
  <c r="I460" i="40"/>
  <c r="N459" i="40"/>
  <c r="L459" i="40"/>
  <c r="K459" i="40"/>
  <c r="J459" i="40"/>
  <c r="I459" i="40"/>
  <c r="N458" i="40"/>
  <c r="L458" i="40"/>
  <c r="K458" i="40"/>
  <c r="J458" i="40"/>
  <c r="I458" i="40"/>
  <c r="N457" i="40"/>
  <c r="L457" i="40"/>
  <c r="K457" i="40"/>
  <c r="J457" i="40"/>
  <c r="I457" i="40"/>
  <c r="N456" i="40"/>
  <c r="L456" i="40"/>
  <c r="K456" i="40"/>
  <c r="J456" i="40"/>
  <c r="I456" i="40"/>
  <c r="N454" i="40"/>
  <c r="L454" i="40"/>
  <c r="K454" i="40"/>
  <c r="J454" i="40"/>
  <c r="I454" i="40"/>
  <c r="N453" i="40"/>
  <c r="L453" i="40"/>
  <c r="K453" i="40"/>
  <c r="J453" i="40"/>
  <c r="I453" i="40"/>
  <c r="N452" i="40"/>
  <c r="L452" i="40"/>
  <c r="K452" i="40"/>
  <c r="J452" i="40"/>
  <c r="I452" i="40"/>
  <c r="N451" i="40"/>
  <c r="L451" i="40"/>
  <c r="K451" i="40"/>
  <c r="J451" i="40"/>
  <c r="I451" i="40"/>
  <c r="J450" i="40"/>
  <c r="I450" i="40"/>
  <c r="N448" i="40"/>
  <c r="L448" i="40"/>
  <c r="K448" i="40"/>
  <c r="J448" i="40"/>
  <c r="I448" i="40"/>
  <c r="N447" i="40"/>
  <c r="L447" i="40"/>
  <c r="K447" i="40"/>
  <c r="J447" i="40"/>
  <c r="I447" i="40"/>
  <c r="N446" i="40"/>
  <c r="L446" i="40"/>
  <c r="K446" i="40"/>
  <c r="J446" i="40"/>
  <c r="I446" i="40"/>
  <c r="N445" i="40"/>
  <c r="L445" i="40"/>
  <c r="K445" i="40"/>
  <c r="J445" i="40"/>
  <c r="I445" i="40"/>
  <c r="J444" i="40"/>
  <c r="I444" i="40"/>
  <c r="N442" i="40"/>
  <c r="L442" i="40"/>
  <c r="K442" i="40"/>
  <c r="J442" i="40"/>
  <c r="I442" i="40"/>
  <c r="N441" i="40"/>
  <c r="L441" i="40"/>
  <c r="K441" i="40"/>
  <c r="J441" i="40"/>
  <c r="I441" i="40"/>
  <c r="N440" i="40"/>
  <c r="L440" i="40"/>
  <c r="K440" i="40"/>
  <c r="J440" i="40"/>
  <c r="I440" i="40"/>
  <c r="N439" i="40"/>
  <c r="L439" i="40"/>
  <c r="K439" i="40"/>
  <c r="J439" i="40"/>
  <c r="I439" i="40"/>
  <c r="S438" i="40"/>
  <c r="R438" i="40"/>
  <c r="N438" i="40"/>
  <c r="L438" i="40"/>
  <c r="K438" i="40"/>
  <c r="J438" i="40"/>
  <c r="I438" i="40"/>
  <c r="S437" i="40"/>
  <c r="R437" i="40"/>
  <c r="N437" i="40"/>
  <c r="L437" i="40"/>
  <c r="K437" i="40"/>
  <c r="J437" i="40"/>
  <c r="I437" i="40"/>
  <c r="S436" i="40"/>
  <c r="R436" i="40"/>
  <c r="N436" i="40"/>
  <c r="L436" i="40"/>
  <c r="K436" i="40"/>
  <c r="J436" i="40"/>
  <c r="I436" i="40"/>
  <c r="S435" i="40"/>
  <c r="R435" i="40"/>
  <c r="N435" i="40"/>
  <c r="L435" i="40"/>
  <c r="K435" i="40"/>
  <c r="J435" i="40"/>
  <c r="I435" i="40"/>
  <c r="S434" i="40"/>
  <c r="R434" i="40"/>
  <c r="N434" i="40"/>
  <c r="L434" i="40"/>
  <c r="K434" i="40"/>
  <c r="J434" i="40"/>
  <c r="I434" i="40"/>
  <c r="N433" i="40"/>
  <c r="L433" i="40"/>
  <c r="K433" i="40"/>
  <c r="J433" i="40"/>
  <c r="I433" i="40"/>
  <c r="N432" i="40"/>
  <c r="L432" i="40"/>
  <c r="K432" i="40"/>
  <c r="J432" i="40"/>
  <c r="I432" i="40"/>
  <c r="N431" i="40"/>
  <c r="L431" i="40"/>
  <c r="K431" i="40"/>
  <c r="J431" i="40"/>
  <c r="I431" i="40"/>
  <c r="N430" i="40"/>
  <c r="L430" i="40"/>
  <c r="K430" i="40"/>
  <c r="J430" i="40"/>
  <c r="I430" i="40"/>
  <c r="N429" i="40"/>
  <c r="L429" i="40"/>
  <c r="K429" i="40"/>
  <c r="J429" i="40"/>
  <c r="I429" i="40"/>
  <c r="N427" i="40"/>
  <c r="L427" i="40"/>
  <c r="K427" i="40"/>
  <c r="J427" i="40"/>
  <c r="I427" i="40"/>
  <c r="N426" i="40"/>
  <c r="L426" i="40"/>
  <c r="K426" i="40"/>
  <c r="J426" i="40"/>
  <c r="I426" i="40"/>
  <c r="N425" i="40"/>
  <c r="L425" i="40"/>
  <c r="K425" i="40"/>
  <c r="J425" i="40"/>
  <c r="I425" i="40"/>
  <c r="N424" i="40"/>
  <c r="L424" i="40"/>
  <c r="K424" i="40"/>
  <c r="J424" i="40"/>
  <c r="I424" i="40"/>
  <c r="J423" i="40"/>
  <c r="I423" i="40"/>
  <c r="I1015" i="40"/>
  <c r="E1015" i="40"/>
  <c r="I1014" i="40"/>
  <c r="I1013" i="40"/>
  <c r="I1012" i="40"/>
  <c r="I1011" i="40"/>
  <c r="I1009" i="40"/>
  <c r="I1008" i="40"/>
  <c r="I1007" i="40"/>
  <c r="I1006" i="40"/>
  <c r="S1005" i="40"/>
  <c r="R1005" i="40"/>
  <c r="N1005" i="40"/>
  <c r="L1005" i="40"/>
  <c r="K1005" i="40"/>
  <c r="I1005" i="40"/>
  <c r="S1004" i="40"/>
  <c r="R1004" i="40"/>
  <c r="N1004" i="40"/>
  <c r="L1004" i="40"/>
  <c r="K1004" i="40"/>
  <c r="I1004" i="40"/>
  <c r="S1003" i="40"/>
  <c r="R1003" i="40"/>
  <c r="N1003" i="40"/>
  <c r="L1003" i="40"/>
  <c r="K1003" i="40"/>
  <c r="I1003" i="40"/>
  <c r="S1002" i="40"/>
  <c r="R1002" i="40"/>
  <c r="N1002" i="40"/>
  <c r="L1002" i="40"/>
  <c r="K1002" i="40"/>
  <c r="I1002" i="40"/>
  <c r="S1001" i="40"/>
  <c r="R1001" i="40"/>
  <c r="N1001" i="40"/>
  <c r="L1001" i="40"/>
  <c r="K1001" i="40"/>
  <c r="I1001" i="40"/>
  <c r="I1000" i="40"/>
  <c r="I999" i="40"/>
  <c r="I998" i="40"/>
  <c r="I997" i="40"/>
  <c r="I996" i="40"/>
  <c r="I994" i="40"/>
  <c r="I993" i="40"/>
  <c r="I992" i="40"/>
  <c r="I991" i="40"/>
  <c r="I990" i="40"/>
  <c r="I988" i="40"/>
  <c r="I987" i="40"/>
  <c r="I986" i="40"/>
  <c r="I985" i="40"/>
  <c r="I984" i="40"/>
  <c r="I982" i="40"/>
  <c r="I981" i="40"/>
  <c r="I980" i="40"/>
  <c r="I979" i="40"/>
  <c r="S978" i="40"/>
  <c r="R978" i="40"/>
  <c r="N978" i="40"/>
  <c r="L978" i="40"/>
  <c r="K978" i="40"/>
  <c r="I978" i="40"/>
  <c r="S977" i="40"/>
  <c r="R977" i="40"/>
  <c r="N977" i="40"/>
  <c r="L977" i="40"/>
  <c r="K977" i="40"/>
  <c r="I977" i="40"/>
  <c r="S976" i="40"/>
  <c r="R976" i="40"/>
  <c r="N976" i="40"/>
  <c r="L976" i="40"/>
  <c r="K976" i="40"/>
  <c r="I976" i="40"/>
  <c r="S975" i="40"/>
  <c r="R975" i="40"/>
  <c r="N975" i="40"/>
  <c r="L975" i="40"/>
  <c r="K975" i="40"/>
  <c r="I975" i="40"/>
  <c r="S974" i="40"/>
  <c r="R974" i="40"/>
  <c r="N974" i="40"/>
  <c r="L974" i="40"/>
  <c r="K974" i="40"/>
  <c r="I974" i="40"/>
  <c r="I973" i="40"/>
  <c r="I972" i="40"/>
  <c r="I971" i="40"/>
  <c r="I970" i="40"/>
  <c r="I969" i="40"/>
  <c r="I967" i="40"/>
  <c r="I966" i="40"/>
  <c r="I965" i="40"/>
  <c r="I964" i="40"/>
  <c r="I963" i="40"/>
  <c r="I961" i="40"/>
  <c r="I960" i="40"/>
  <c r="I959" i="40"/>
  <c r="I958" i="40"/>
  <c r="I957" i="40"/>
  <c r="I955" i="40"/>
  <c r="I954" i="40"/>
  <c r="I953" i="40"/>
  <c r="I952" i="40"/>
  <c r="S951" i="40"/>
  <c r="R951" i="40"/>
  <c r="N951" i="40"/>
  <c r="L951" i="40"/>
  <c r="K951" i="40"/>
  <c r="I951" i="40"/>
  <c r="S950" i="40"/>
  <c r="R950" i="40"/>
  <c r="N950" i="40"/>
  <c r="L950" i="40"/>
  <c r="K950" i="40"/>
  <c r="I950" i="40"/>
  <c r="S949" i="40"/>
  <c r="R949" i="40"/>
  <c r="N949" i="40"/>
  <c r="L949" i="40"/>
  <c r="K949" i="40"/>
  <c r="I949" i="40"/>
  <c r="S948" i="40"/>
  <c r="R948" i="40"/>
  <c r="N948" i="40"/>
  <c r="L948" i="40"/>
  <c r="K948" i="40"/>
  <c r="I948" i="40"/>
  <c r="S947" i="40"/>
  <c r="R947" i="40"/>
  <c r="N947" i="40"/>
  <c r="L947" i="40"/>
  <c r="K947" i="40"/>
  <c r="I947" i="40"/>
  <c r="I946" i="40"/>
  <c r="I945" i="40"/>
  <c r="I944" i="40"/>
  <c r="I943" i="40"/>
  <c r="I942" i="40"/>
  <c r="I940" i="40"/>
  <c r="I939" i="40"/>
  <c r="I938" i="40"/>
  <c r="I937" i="40"/>
  <c r="I936" i="40"/>
  <c r="I934" i="40"/>
  <c r="I933" i="40"/>
  <c r="I932" i="40"/>
  <c r="I931" i="40"/>
  <c r="I930" i="40"/>
  <c r="I928" i="40"/>
  <c r="I927" i="40"/>
  <c r="I926" i="40"/>
  <c r="I925" i="40"/>
  <c r="S924" i="40"/>
  <c r="R924" i="40"/>
  <c r="N924" i="40"/>
  <c r="L924" i="40"/>
  <c r="K924" i="40"/>
  <c r="I924" i="40"/>
  <c r="S923" i="40"/>
  <c r="R923" i="40"/>
  <c r="N923" i="40"/>
  <c r="L923" i="40"/>
  <c r="K923" i="40"/>
  <c r="I923" i="40"/>
  <c r="S922" i="40"/>
  <c r="R922" i="40"/>
  <c r="N922" i="40"/>
  <c r="L922" i="40"/>
  <c r="K922" i="40"/>
  <c r="I922" i="40"/>
  <c r="S921" i="40"/>
  <c r="R921" i="40"/>
  <c r="N921" i="40"/>
  <c r="L921" i="40"/>
  <c r="K921" i="40"/>
  <c r="I921" i="40"/>
  <c r="S920" i="40"/>
  <c r="R920" i="40"/>
  <c r="N920" i="40"/>
  <c r="L920" i="40"/>
  <c r="K920" i="40"/>
  <c r="I920" i="40"/>
  <c r="I919" i="40"/>
  <c r="I918" i="40"/>
  <c r="I917" i="40"/>
  <c r="I916" i="40"/>
  <c r="I915" i="40"/>
  <c r="I913" i="40"/>
  <c r="I912" i="40"/>
  <c r="E912" i="40"/>
  <c r="I911" i="40"/>
  <c r="I910" i="40"/>
  <c r="I909" i="40"/>
  <c r="I907" i="40"/>
  <c r="E907" i="40"/>
  <c r="I906" i="40"/>
  <c r="I905" i="40"/>
  <c r="I904" i="40"/>
  <c r="I903" i="40"/>
  <c r="E903" i="40"/>
  <c r="I901" i="40"/>
  <c r="I900" i="40"/>
  <c r="I899" i="40"/>
  <c r="I898" i="40"/>
  <c r="S897" i="40"/>
  <c r="R897" i="40"/>
  <c r="N897" i="40"/>
  <c r="L897" i="40"/>
  <c r="K897" i="40"/>
  <c r="I897" i="40"/>
  <c r="S896" i="40"/>
  <c r="R896" i="40"/>
  <c r="N896" i="40"/>
  <c r="L896" i="40"/>
  <c r="K896" i="40"/>
  <c r="I896" i="40"/>
  <c r="S895" i="40"/>
  <c r="R895" i="40"/>
  <c r="N895" i="40"/>
  <c r="L895" i="40"/>
  <c r="K895" i="40"/>
  <c r="I895" i="40"/>
  <c r="S894" i="40"/>
  <c r="R894" i="40"/>
  <c r="N894" i="40"/>
  <c r="L894" i="40"/>
  <c r="K894" i="40"/>
  <c r="I894" i="40"/>
  <c r="S893" i="40"/>
  <c r="R893" i="40"/>
  <c r="N893" i="40"/>
  <c r="L893" i="40"/>
  <c r="K893" i="40"/>
  <c r="I893" i="40"/>
  <c r="I892" i="40"/>
  <c r="I891" i="40"/>
  <c r="I890" i="40"/>
  <c r="I889" i="40"/>
  <c r="I888" i="40"/>
  <c r="I886" i="40"/>
  <c r="I885" i="40"/>
  <c r="I884" i="40"/>
  <c r="I883" i="40"/>
  <c r="I882" i="40"/>
  <c r="I853" i="40"/>
  <c r="I852" i="40"/>
  <c r="I851" i="40"/>
  <c r="I850" i="40"/>
  <c r="I849" i="40"/>
  <c r="I847" i="40"/>
  <c r="I846" i="40"/>
  <c r="I845" i="40"/>
  <c r="I844" i="40"/>
  <c r="S843" i="40"/>
  <c r="R843" i="40"/>
  <c r="N843" i="40"/>
  <c r="L843" i="40"/>
  <c r="K843" i="40"/>
  <c r="I843" i="40"/>
  <c r="S842" i="40"/>
  <c r="R842" i="40"/>
  <c r="N842" i="40"/>
  <c r="L842" i="40"/>
  <c r="K842" i="40"/>
  <c r="I842" i="40"/>
  <c r="S841" i="40"/>
  <c r="R841" i="40"/>
  <c r="N841" i="40"/>
  <c r="L841" i="40"/>
  <c r="K841" i="40"/>
  <c r="I841" i="40"/>
  <c r="S840" i="40"/>
  <c r="R840" i="40"/>
  <c r="N840" i="40"/>
  <c r="L840" i="40"/>
  <c r="K840" i="40"/>
  <c r="I840" i="40"/>
  <c r="S839" i="40"/>
  <c r="R839" i="40"/>
  <c r="N839" i="40"/>
  <c r="L839" i="40"/>
  <c r="K839" i="40"/>
  <c r="I839" i="40"/>
  <c r="I838" i="40"/>
  <c r="I837" i="40"/>
  <c r="I836" i="40"/>
  <c r="I835" i="40"/>
  <c r="I834" i="40"/>
  <c r="I832" i="40"/>
  <c r="I831" i="40"/>
  <c r="I830" i="40"/>
  <c r="I829" i="40"/>
  <c r="I828" i="40"/>
  <c r="I799" i="40"/>
  <c r="I798" i="40"/>
  <c r="I797" i="40"/>
  <c r="E797" i="40"/>
  <c r="I796" i="40"/>
  <c r="I795" i="40"/>
  <c r="I793" i="40"/>
  <c r="E793" i="40"/>
  <c r="I792" i="40"/>
  <c r="E792" i="40"/>
  <c r="I791" i="40"/>
  <c r="E791" i="40"/>
  <c r="I790" i="40"/>
  <c r="E790" i="40"/>
  <c r="S789" i="40"/>
  <c r="R789" i="40"/>
  <c r="N789" i="40"/>
  <c r="L789" i="40"/>
  <c r="K789" i="40"/>
  <c r="I789" i="40"/>
  <c r="E789" i="40"/>
  <c r="S788" i="40"/>
  <c r="R788" i="40"/>
  <c r="N788" i="40"/>
  <c r="L788" i="40"/>
  <c r="K788" i="40"/>
  <c r="I788" i="40"/>
  <c r="E788" i="40"/>
  <c r="S787" i="40"/>
  <c r="R787" i="40"/>
  <c r="N787" i="40"/>
  <c r="L787" i="40"/>
  <c r="K787" i="40"/>
  <c r="I787" i="40"/>
  <c r="E787" i="40"/>
  <c r="S786" i="40"/>
  <c r="R786" i="40"/>
  <c r="N786" i="40"/>
  <c r="L786" i="40"/>
  <c r="K786" i="40"/>
  <c r="I786" i="40"/>
  <c r="E786" i="40"/>
  <c r="S785" i="40"/>
  <c r="R785" i="40"/>
  <c r="N785" i="40"/>
  <c r="L785" i="40"/>
  <c r="K785" i="40"/>
  <c r="I785" i="40"/>
  <c r="E785" i="40"/>
  <c r="I784" i="40"/>
  <c r="E784" i="40"/>
  <c r="I783" i="40"/>
  <c r="E783" i="40"/>
  <c r="I782" i="40"/>
  <c r="E782" i="40"/>
  <c r="I781" i="40"/>
  <c r="E781" i="40"/>
  <c r="I780" i="40"/>
  <c r="E780" i="40"/>
  <c r="I778" i="40"/>
  <c r="I777" i="40"/>
  <c r="I776" i="40"/>
  <c r="I775" i="40"/>
  <c r="I774" i="40"/>
  <c r="I664" i="40"/>
  <c r="I663" i="40"/>
  <c r="I662" i="40"/>
  <c r="I661" i="40"/>
  <c r="I660" i="40"/>
  <c r="I658" i="40"/>
  <c r="I657" i="40"/>
  <c r="I656" i="40"/>
  <c r="I655" i="40"/>
  <c r="S654" i="40"/>
  <c r="R654" i="40"/>
  <c r="N654" i="40"/>
  <c r="L654" i="40"/>
  <c r="K654" i="40"/>
  <c r="I654" i="40"/>
  <c r="S653" i="40"/>
  <c r="R653" i="40"/>
  <c r="N653" i="40"/>
  <c r="L653" i="40"/>
  <c r="K653" i="40"/>
  <c r="I653" i="40"/>
  <c r="S652" i="40"/>
  <c r="R652" i="40"/>
  <c r="N652" i="40"/>
  <c r="L652" i="40"/>
  <c r="K652" i="40"/>
  <c r="I652" i="40"/>
  <c r="S651" i="40"/>
  <c r="R651" i="40"/>
  <c r="N651" i="40"/>
  <c r="L651" i="40"/>
  <c r="K651" i="40"/>
  <c r="I651" i="40"/>
  <c r="S650" i="40"/>
  <c r="R650" i="40"/>
  <c r="N650" i="40"/>
  <c r="L650" i="40"/>
  <c r="K650" i="40"/>
  <c r="I650" i="40"/>
  <c r="I649" i="40"/>
  <c r="I648" i="40"/>
  <c r="I647" i="40"/>
  <c r="I646" i="40"/>
  <c r="I645" i="40"/>
  <c r="I643" i="40"/>
  <c r="I642" i="40"/>
  <c r="I641" i="40"/>
  <c r="I640" i="40"/>
  <c r="I639" i="40"/>
  <c r="I637" i="40"/>
  <c r="I636" i="40"/>
  <c r="I635" i="40"/>
  <c r="I634" i="40"/>
  <c r="I633" i="40"/>
  <c r="I631" i="40"/>
  <c r="I630" i="40"/>
  <c r="I629" i="40"/>
  <c r="I628" i="40"/>
  <c r="S627" i="40"/>
  <c r="R627" i="40"/>
  <c r="N627" i="40"/>
  <c r="L627" i="40"/>
  <c r="K627" i="40"/>
  <c r="I627" i="40"/>
  <c r="S626" i="40"/>
  <c r="R626" i="40"/>
  <c r="N626" i="40"/>
  <c r="L626" i="40"/>
  <c r="K626" i="40"/>
  <c r="I626" i="40"/>
  <c r="S625" i="40"/>
  <c r="R625" i="40"/>
  <c r="N625" i="40"/>
  <c r="L625" i="40"/>
  <c r="K625" i="40"/>
  <c r="I625" i="40"/>
  <c r="S624" i="40"/>
  <c r="R624" i="40"/>
  <c r="N624" i="40"/>
  <c r="L624" i="40"/>
  <c r="K624" i="40"/>
  <c r="I624" i="40"/>
  <c r="S623" i="40"/>
  <c r="R623" i="40"/>
  <c r="N623" i="40"/>
  <c r="L623" i="40"/>
  <c r="K623" i="40"/>
  <c r="I623" i="40"/>
  <c r="I622" i="40"/>
  <c r="I621" i="40"/>
  <c r="I620" i="40"/>
  <c r="I619" i="40"/>
  <c r="I618" i="40"/>
  <c r="I616" i="40"/>
  <c r="I615" i="40"/>
  <c r="E615" i="40"/>
  <c r="I614" i="40"/>
  <c r="I613" i="40"/>
  <c r="I612" i="40"/>
  <c r="I610" i="40"/>
  <c r="I609" i="40"/>
  <c r="I608" i="40"/>
  <c r="I607" i="40"/>
  <c r="E607" i="40"/>
  <c r="I606" i="40"/>
  <c r="I604" i="40"/>
  <c r="I603" i="40"/>
  <c r="I602" i="40"/>
  <c r="I601" i="40"/>
  <c r="S600" i="40"/>
  <c r="R600" i="40"/>
  <c r="N600" i="40"/>
  <c r="L600" i="40"/>
  <c r="K600" i="40"/>
  <c r="I600" i="40"/>
  <c r="S599" i="40"/>
  <c r="R599" i="40"/>
  <c r="N599" i="40"/>
  <c r="L599" i="40"/>
  <c r="K599" i="40"/>
  <c r="I599" i="40"/>
  <c r="S598" i="40"/>
  <c r="R598" i="40"/>
  <c r="N598" i="40"/>
  <c r="L598" i="40"/>
  <c r="K598" i="40"/>
  <c r="I598" i="40"/>
  <c r="S597" i="40"/>
  <c r="R597" i="40"/>
  <c r="N597" i="40"/>
  <c r="L597" i="40"/>
  <c r="K597" i="40"/>
  <c r="I597" i="40"/>
  <c r="S596" i="40"/>
  <c r="R596" i="40"/>
  <c r="N596" i="40"/>
  <c r="L596" i="40"/>
  <c r="K596" i="40"/>
  <c r="I596" i="40"/>
  <c r="I595" i="40"/>
  <c r="I594" i="40"/>
  <c r="I593" i="40"/>
  <c r="I592" i="40"/>
  <c r="I591" i="40"/>
  <c r="I589" i="40"/>
  <c r="I588" i="40"/>
  <c r="I587" i="40"/>
  <c r="I586" i="40"/>
  <c r="I585" i="40"/>
  <c r="I556" i="40"/>
  <c r="I555" i="40"/>
  <c r="I554" i="40"/>
  <c r="I553" i="40"/>
  <c r="I552" i="40"/>
  <c r="I550" i="40"/>
  <c r="I549" i="40"/>
  <c r="I548" i="40"/>
  <c r="I547" i="40"/>
  <c r="S546" i="40"/>
  <c r="R546" i="40"/>
  <c r="N546" i="40"/>
  <c r="L546" i="40"/>
  <c r="K546" i="40"/>
  <c r="I546" i="40"/>
  <c r="S545" i="40"/>
  <c r="R545" i="40"/>
  <c r="N545" i="40"/>
  <c r="L545" i="40"/>
  <c r="K545" i="40"/>
  <c r="I545" i="40"/>
  <c r="S544" i="40"/>
  <c r="R544" i="40"/>
  <c r="N544" i="40"/>
  <c r="L544" i="40"/>
  <c r="K544" i="40"/>
  <c r="I544" i="40"/>
  <c r="S543" i="40"/>
  <c r="R543" i="40"/>
  <c r="N543" i="40"/>
  <c r="L543" i="40"/>
  <c r="K543" i="40"/>
  <c r="I543" i="40"/>
  <c r="S542" i="40"/>
  <c r="R542" i="40"/>
  <c r="N542" i="40"/>
  <c r="L542" i="40"/>
  <c r="K542" i="40"/>
  <c r="I542" i="40"/>
  <c r="I541" i="40"/>
  <c r="I540" i="40"/>
  <c r="I539" i="40"/>
  <c r="I538" i="40"/>
  <c r="I537" i="40"/>
  <c r="I535" i="40"/>
  <c r="I534" i="40"/>
  <c r="I533" i="40"/>
  <c r="I532" i="40"/>
  <c r="I531" i="40"/>
  <c r="I529" i="40"/>
  <c r="E529" i="40"/>
  <c r="I528" i="40"/>
  <c r="I527" i="40"/>
  <c r="I526" i="40"/>
  <c r="I525" i="40"/>
  <c r="E525" i="40"/>
  <c r="I523" i="40"/>
  <c r="I522" i="40"/>
  <c r="I521" i="40"/>
  <c r="I520" i="40"/>
  <c r="S519" i="40"/>
  <c r="R519" i="40"/>
  <c r="N519" i="40"/>
  <c r="L519" i="40"/>
  <c r="K519" i="40"/>
  <c r="J519" i="40"/>
  <c r="I519" i="40"/>
  <c r="S518" i="40"/>
  <c r="R518" i="40"/>
  <c r="N518" i="40"/>
  <c r="L518" i="40"/>
  <c r="K518" i="40"/>
  <c r="J518" i="40"/>
  <c r="I518" i="40"/>
  <c r="S517" i="40"/>
  <c r="R517" i="40"/>
  <c r="N517" i="40"/>
  <c r="L517" i="40"/>
  <c r="K517" i="40"/>
  <c r="J517" i="40"/>
  <c r="I517" i="40"/>
  <c r="S516" i="40"/>
  <c r="R516" i="40"/>
  <c r="N516" i="40"/>
  <c r="L516" i="40"/>
  <c r="K516" i="40"/>
  <c r="J516" i="40"/>
  <c r="I516" i="40"/>
  <c r="S515" i="40"/>
  <c r="R515" i="40"/>
  <c r="N515" i="40"/>
  <c r="L515" i="40"/>
  <c r="K515" i="40"/>
  <c r="J515" i="40"/>
  <c r="I515" i="40"/>
  <c r="I514" i="40"/>
  <c r="I513" i="40"/>
  <c r="I512" i="40"/>
  <c r="I511" i="40"/>
  <c r="I510" i="40"/>
  <c r="I508" i="40"/>
  <c r="I507" i="40"/>
  <c r="I506" i="40"/>
  <c r="I505" i="40"/>
  <c r="I504" i="40"/>
  <c r="I394" i="40"/>
  <c r="I393" i="40"/>
  <c r="I392" i="40"/>
  <c r="E392" i="40"/>
  <c r="I391" i="40"/>
  <c r="I390" i="40"/>
  <c r="I388" i="40"/>
  <c r="I387" i="40"/>
  <c r="I386" i="40"/>
  <c r="I385" i="40"/>
  <c r="S384" i="40"/>
  <c r="R384" i="40"/>
  <c r="N384" i="40"/>
  <c r="L384" i="40"/>
  <c r="K384" i="40"/>
  <c r="J384" i="40"/>
  <c r="I384" i="40"/>
  <c r="S383" i="40"/>
  <c r="R383" i="40"/>
  <c r="N383" i="40"/>
  <c r="L383" i="40"/>
  <c r="K383" i="40"/>
  <c r="J383" i="40"/>
  <c r="I383" i="40"/>
  <c r="S382" i="40"/>
  <c r="R382" i="40"/>
  <c r="N382" i="40"/>
  <c r="L382" i="40"/>
  <c r="K382" i="40"/>
  <c r="J382" i="40"/>
  <c r="I382" i="40"/>
  <c r="S381" i="40"/>
  <c r="R381" i="40"/>
  <c r="N381" i="40"/>
  <c r="L381" i="40"/>
  <c r="K381" i="40"/>
  <c r="J381" i="40"/>
  <c r="I381" i="40"/>
  <c r="S380" i="40"/>
  <c r="R380" i="40"/>
  <c r="N380" i="40"/>
  <c r="L380" i="40"/>
  <c r="K380" i="40"/>
  <c r="J380" i="40"/>
  <c r="I380" i="40"/>
  <c r="I379" i="40"/>
  <c r="I378" i="40"/>
  <c r="I377" i="40"/>
  <c r="I376" i="40"/>
  <c r="I375" i="40"/>
  <c r="I373" i="40"/>
  <c r="I372" i="40"/>
  <c r="I371" i="40"/>
  <c r="I370" i="40"/>
  <c r="E370" i="40"/>
  <c r="I369" i="40"/>
  <c r="I367" i="40"/>
  <c r="I366" i="40"/>
  <c r="I365" i="40"/>
  <c r="I364" i="40"/>
  <c r="I363" i="40"/>
  <c r="I361" i="40"/>
  <c r="I360" i="40"/>
  <c r="E360" i="40"/>
  <c r="I359" i="40"/>
  <c r="E359" i="40"/>
  <c r="I358" i="40"/>
  <c r="E358" i="40"/>
  <c r="S357" i="40"/>
  <c r="R357" i="40"/>
  <c r="N357" i="40"/>
  <c r="L357" i="40"/>
  <c r="K357" i="40"/>
  <c r="J357" i="40"/>
  <c r="I357" i="40"/>
  <c r="S356" i="40"/>
  <c r="R356" i="40"/>
  <c r="N356" i="40"/>
  <c r="L356" i="40"/>
  <c r="K356" i="40"/>
  <c r="J356" i="40"/>
  <c r="I356" i="40"/>
  <c r="S355" i="40"/>
  <c r="R355" i="40"/>
  <c r="N355" i="40"/>
  <c r="L355" i="40"/>
  <c r="K355" i="40"/>
  <c r="J355" i="40"/>
  <c r="I355" i="40"/>
  <c r="E355" i="40"/>
  <c r="S354" i="40"/>
  <c r="R354" i="40"/>
  <c r="N354" i="40"/>
  <c r="L354" i="40"/>
  <c r="K354" i="40"/>
  <c r="J354" i="40"/>
  <c r="I354" i="40"/>
  <c r="S353" i="40"/>
  <c r="R353" i="40"/>
  <c r="N353" i="40"/>
  <c r="L353" i="40"/>
  <c r="K353" i="40"/>
  <c r="J353" i="40"/>
  <c r="I353" i="40"/>
  <c r="I352" i="40"/>
  <c r="E352" i="40"/>
  <c r="I351" i="40"/>
  <c r="E351" i="40"/>
  <c r="I350" i="40"/>
  <c r="I349" i="40"/>
  <c r="I348" i="40"/>
  <c r="I346" i="40"/>
  <c r="I345" i="40"/>
  <c r="I344" i="40"/>
  <c r="I343" i="40"/>
  <c r="I342" i="40"/>
  <c r="S340" i="40"/>
  <c r="R340" i="40"/>
  <c r="N340" i="40"/>
  <c r="L340" i="40"/>
  <c r="K340" i="40"/>
  <c r="J340" i="40"/>
  <c r="I340" i="40"/>
  <c r="S339" i="40"/>
  <c r="R339" i="40"/>
  <c r="N339" i="40"/>
  <c r="L339" i="40"/>
  <c r="K339" i="40"/>
  <c r="J339" i="40"/>
  <c r="I339" i="40"/>
  <c r="S338" i="40"/>
  <c r="R338" i="40"/>
  <c r="N338" i="40"/>
  <c r="L338" i="40"/>
  <c r="K338" i="40"/>
  <c r="J338" i="40"/>
  <c r="I338" i="40"/>
  <c r="S337" i="40"/>
  <c r="R337" i="40"/>
  <c r="N337" i="40"/>
  <c r="L337" i="40"/>
  <c r="K337" i="40"/>
  <c r="J337" i="40"/>
  <c r="I337" i="40"/>
  <c r="J336" i="40"/>
  <c r="I336" i="40"/>
  <c r="S334" i="40"/>
  <c r="R334" i="40"/>
  <c r="N334" i="40"/>
  <c r="L334" i="40"/>
  <c r="K334" i="40"/>
  <c r="J334" i="40"/>
  <c r="I334" i="40"/>
  <c r="S333" i="40"/>
  <c r="R333" i="40"/>
  <c r="N333" i="40"/>
  <c r="L333" i="40"/>
  <c r="K333" i="40"/>
  <c r="J333" i="40"/>
  <c r="I333" i="40"/>
  <c r="S332" i="40"/>
  <c r="R332" i="40"/>
  <c r="N332" i="40"/>
  <c r="L332" i="40"/>
  <c r="K332" i="40"/>
  <c r="J332" i="40"/>
  <c r="I332" i="40"/>
  <c r="S331" i="40"/>
  <c r="R331" i="40"/>
  <c r="N331" i="40"/>
  <c r="L331" i="40"/>
  <c r="K331" i="40"/>
  <c r="J331" i="40"/>
  <c r="I331" i="40"/>
  <c r="S330" i="40"/>
  <c r="R330" i="40"/>
  <c r="N330" i="40"/>
  <c r="L330" i="40"/>
  <c r="K330" i="40"/>
  <c r="J330" i="40"/>
  <c r="I330" i="40"/>
  <c r="S329" i="40"/>
  <c r="R329" i="40"/>
  <c r="N329" i="40"/>
  <c r="L329" i="40"/>
  <c r="K329" i="40"/>
  <c r="J329" i="40"/>
  <c r="I329" i="40"/>
  <c r="S328" i="40"/>
  <c r="R328" i="40"/>
  <c r="N328" i="40"/>
  <c r="L328" i="40"/>
  <c r="K328" i="40"/>
  <c r="J328" i="40"/>
  <c r="I328" i="40"/>
  <c r="S327" i="40"/>
  <c r="R327" i="40"/>
  <c r="N327" i="40"/>
  <c r="L327" i="40"/>
  <c r="K327" i="40"/>
  <c r="J327" i="40"/>
  <c r="I327" i="40"/>
  <c r="S326" i="40"/>
  <c r="R326" i="40"/>
  <c r="N326" i="40"/>
  <c r="L326" i="40"/>
  <c r="K326" i="40"/>
  <c r="J326" i="40"/>
  <c r="I326" i="40"/>
  <c r="S325" i="40"/>
  <c r="R325" i="40"/>
  <c r="N325" i="40"/>
  <c r="L325" i="40"/>
  <c r="K325" i="40"/>
  <c r="J325" i="40"/>
  <c r="I325" i="40"/>
  <c r="S324" i="40"/>
  <c r="R324" i="40"/>
  <c r="N324" i="40"/>
  <c r="L324" i="40"/>
  <c r="K324" i="40"/>
  <c r="J324" i="40"/>
  <c r="I324" i="40"/>
  <c r="S323" i="40"/>
  <c r="R323" i="40"/>
  <c r="N323" i="40"/>
  <c r="L323" i="40"/>
  <c r="K323" i="40"/>
  <c r="J323" i="40"/>
  <c r="I323" i="40"/>
  <c r="S322" i="40"/>
  <c r="R322" i="40"/>
  <c r="N322" i="40"/>
  <c r="L322" i="40"/>
  <c r="K322" i="40"/>
  <c r="J322" i="40"/>
  <c r="I322" i="40"/>
  <c r="S321" i="40"/>
  <c r="R321" i="40"/>
  <c r="N321" i="40"/>
  <c r="L321" i="40"/>
  <c r="K321" i="40"/>
  <c r="J321" i="40"/>
  <c r="I321" i="40"/>
  <c r="S319" i="40"/>
  <c r="R319" i="40"/>
  <c r="N319" i="40"/>
  <c r="L319" i="40"/>
  <c r="K319" i="40"/>
  <c r="J319" i="40"/>
  <c r="I319" i="40"/>
  <c r="S318" i="40"/>
  <c r="R318" i="40"/>
  <c r="N318" i="40"/>
  <c r="L318" i="40"/>
  <c r="K318" i="40"/>
  <c r="J318" i="40"/>
  <c r="I318" i="40"/>
  <c r="S317" i="40"/>
  <c r="R317" i="40"/>
  <c r="N317" i="40"/>
  <c r="L317" i="40"/>
  <c r="K317" i="40"/>
  <c r="J317" i="40"/>
  <c r="I317" i="40"/>
  <c r="S316" i="40"/>
  <c r="R316" i="40"/>
  <c r="N316" i="40"/>
  <c r="L316" i="40"/>
  <c r="K316" i="40"/>
  <c r="J316" i="40"/>
  <c r="I316" i="40"/>
  <c r="J315" i="40"/>
  <c r="I315" i="40"/>
  <c r="S313" i="40"/>
  <c r="R313" i="40"/>
  <c r="N313" i="40"/>
  <c r="L313" i="40"/>
  <c r="K313" i="40"/>
  <c r="J313" i="40"/>
  <c r="I313" i="40"/>
  <c r="S312" i="40"/>
  <c r="R312" i="40"/>
  <c r="N312" i="40"/>
  <c r="L312" i="40"/>
  <c r="K312" i="40"/>
  <c r="J312" i="40"/>
  <c r="I312" i="40"/>
  <c r="S311" i="40"/>
  <c r="R311" i="40"/>
  <c r="N311" i="40"/>
  <c r="L311" i="40"/>
  <c r="K311" i="40"/>
  <c r="J311" i="40"/>
  <c r="I311" i="40"/>
  <c r="S310" i="40"/>
  <c r="R310" i="40"/>
  <c r="N310" i="40"/>
  <c r="L310" i="40"/>
  <c r="K310" i="40"/>
  <c r="J310" i="40"/>
  <c r="I310" i="40"/>
  <c r="J309" i="40"/>
  <c r="I309" i="40"/>
  <c r="S307" i="40"/>
  <c r="R307" i="40"/>
  <c r="N307" i="40"/>
  <c r="L307" i="40"/>
  <c r="K307" i="40"/>
  <c r="J307" i="40"/>
  <c r="I307" i="40"/>
  <c r="S306" i="40"/>
  <c r="R306" i="40"/>
  <c r="N306" i="40"/>
  <c r="L306" i="40"/>
  <c r="K306" i="40"/>
  <c r="J306" i="40"/>
  <c r="I306" i="40"/>
  <c r="S305" i="40"/>
  <c r="R305" i="40"/>
  <c r="N305" i="40"/>
  <c r="L305" i="40"/>
  <c r="K305" i="40"/>
  <c r="J305" i="40"/>
  <c r="I305" i="40"/>
  <c r="S304" i="40"/>
  <c r="R304" i="40"/>
  <c r="N304" i="40"/>
  <c r="L304" i="40"/>
  <c r="K304" i="40"/>
  <c r="J304" i="40"/>
  <c r="I304" i="40"/>
  <c r="S303" i="40"/>
  <c r="R303" i="40"/>
  <c r="N303" i="40"/>
  <c r="L303" i="40"/>
  <c r="K303" i="40"/>
  <c r="J303" i="40"/>
  <c r="I303" i="40"/>
  <c r="S302" i="40"/>
  <c r="R302" i="40"/>
  <c r="N302" i="40"/>
  <c r="L302" i="40"/>
  <c r="K302" i="40"/>
  <c r="J302" i="40"/>
  <c r="I302" i="40"/>
  <c r="S301" i="40"/>
  <c r="R301" i="40"/>
  <c r="N301" i="40"/>
  <c r="L301" i="40"/>
  <c r="K301" i="40"/>
  <c r="J301" i="40"/>
  <c r="I301" i="40"/>
  <c r="S300" i="40"/>
  <c r="R300" i="40"/>
  <c r="N300" i="40"/>
  <c r="L300" i="40"/>
  <c r="K300" i="40"/>
  <c r="J300" i="40"/>
  <c r="I300" i="40"/>
  <c r="S299" i="40"/>
  <c r="R299" i="40"/>
  <c r="N299" i="40"/>
  <c r="L299" i="40"/>
  <c r="K299" i="40"/>
  <c r="J299" i="40"/>
  <c r="I299" i="40"/>
  <c r="S298" i="40"/>
  <c r="R298" i="40"/>
  <c r="N298" i="40"/>
  <c r="L298" i="40"/>
  <c r="K298" i="40"/>
  <c r="J298" i="40"/>
  <c r="I298" i="40"/>
  <c r="S297" i="40"/>
  <c r="R297" i="40"/>
  <c r="N297" i="40"/>
  <c r="L297" i="40"/>
  <c r="K297" i="40"/>
  <c r="J297" i="40"/>
  <c r="I297" i="40"/>
  <c r="S296" i="40"/>
  <c r="R296" i="40"/>
  <c r="N296" i="40"/>
  <c r="L296" i="40"/>
  <c r="K296" i="40"/>
  <c r="J296" i="40"/>
  <c r="I296" i="40"/>
  <c r="S295" i="40"/>
  <c r="R295" i="40"/>
  <c r="N295" i="40"/>
  <c r="L295" i="40"/>
  <c r="K295" i="40"/>
  <c r="J295" i="40"/>
  <c r="I295" i="40"/>
  <c r="S294" i="40"/>
  <c r="R294" i="40"/>
  <c r="N294" i="40"/>
  <c r="L294" i="40"/>
  <c r="K294" i="40"/>
  <c r="J294" i="40"/>
  <c r="I294" i="40"/>
  <c r="S292" i="40"/>
  <c r="R292" i="40"/>
  <c r="N292" i="40"/>
  <c r="L292" i="40"/>
  <c r="K292" i="40"/>
  <c r="J292" i="40"/>
  <c r="I292" i="40"/>
  <c r="S291" i="40"/>
  <c r="R291" i="40"/>
  <c r="N291" i="40"/>
  <c r="L291" i="40"/>
  <c r="K291" i="40"/>
  <c r="J291" i="40"/>
  <c r="I291" i="40"/>
  <c r="S290" i="40"/>
  <c r="R290" i="40"/>
  <c r="N290" i="40"/>
  <c r="L290" i="40"/>
  <c r="K290" i="40"/>
  <c r="J290" i="40"/>
  <c r="I290" i="40"/>
  <c r="S289" i="40"/>
  <c r="R289" i="40"/>
  <c r="N289" i="40"/>
  <c r="L289" i="40"/>
  <c r="K289" i="40"/>
  <c r="J289" i="40"/>
  <c r="I289" i="40"/>
  <c r="J288" i="40"/>
  <c r="I288" i="40"/>
  <c r="S286" i="40"/>
  <c r="R286" i="40"/>
  <c r="N286" i="40"/>
  <c r="L286" i="40"/>
  <c r="K286" i="40"/>
  <c r="J286" i="40"/>
  <c r="I286" i="40"/>
  <c r="S285" i="40"/>
  <c r="R285" i="40"/>
  <c r="N285" i="40"/>
  <c r="L285" i="40"/>
  <c r="K285" i="40"/>
  <c r="J285" i="40"/>
  <c r="I285" i="40"/>
  <c r="S284" i="40"/>
  <c r="R284" i="40"/>
  <c r="N284" i="40"/>
  <c r="L284" i="40"/>
  <c r="K284" i="40"/>
  <c r="J284" i="40"/>
  <c r="I284" i="40"/>
  <c r="S283" i="40"/>
  <c r="R283" i="40"/>
  <c r="N283" i="40"/>
  <c r="L283" i="40"/>
  <c r="K283" i="40"/>
  <c r="J283" i="40"/>
  <c r="I283" i="40"/>
  <c r="J282" i="40"/>
  <c r="I282" i="40"/>
  <c r="S280" i="40"/>
  <c r="R280" i="40"/>
  <c r="N280" i="40"/>
  <c r="L280" i="40"/>
  <c r="K280" i="40"/>
  <c r="J280" i="40"/>
  <c r="I280" i="40"/>
  <c r="S279" i="40"/>
  <c r="R279" i="40"/>
  <c r="N279" i="40"/>
  <c r="L279" i="40"/>
  <c r="K279" i="40"/>
  <c r="J279" i="40"/>
  <c r="I279" i="40"/>
  <c r="E279" i="40"/>
  <c r="S278" i="40"/>
  <c r="R278" i="40"/>
  <c r="N278" i="40"/>
  <c r="L278" i="40"/>
  <c r="K278" i="40"/>
  <c r="J278" i="40"/>
  <c r="I278" i="40"/>
  <c r="E278" i="40"/>
  <c r="S277" i="40"/>
  <c r="R277" i="40"/>
  <c r="N277" i="40"/>
  <c r="L277" i="40"/>
  <c r="K277" i="40"/>
  <c r="J277" i="40"/>
  <c r="I277" i="40"/>
  <c r="E277" i="40"/>
  <c r="S276" i="40"/>
  <c r="R276" i="40"/>
  <c r="N276" i="40"/>
  <c r="L276" i="40"/>
  <c r="K276" i="40"/>
  <c r="J276" i="40"/>
  <c r="I276" i="40"/>
  <c r="S275" i="40"/>
  <c r="R275" i="40"/>
  <c r="N275" i="40"/>
  <c r="L275" i="40"/>
  <c r="K275" i="40"/>
  <c r="J275" i="40"/>
  <c r="I275" i="40"/>
  <c r="S274" i="40"/>
  <c r="R274" i="40"/>
  <c r="N274" i="40"/>
  <c r="L274" i="40"/>
  <c r="K274" i="40"/>
  <c r="J274" i="40"/>
  <c r="I274" i="40"/>
  <c r="S273" i="40"/>
  <c r="R273" i="40"/>
  <c r="N273" i="40"/>
  <c r="L273" i="40"/>
  <c r="K273" i="40"/>
  <c r="J273" i="40"/>
  <c r="I273" i="40"/>
  <c r="S272" i="40"/>
  <c r="R272" i="40"/>
  <c r="N272" i="40"/>
  <c r="L272" i="40"/>
  <c r="K272" i="40"/>
  <c r="J272" i="40"/>
  <c r="I272" i="40"/>
  <c r="S271" i="40"/>
  <c r="R271" i="40"/>
  <c r="N271" i="40"/>
  <c r="L271" i="40"/>
  <c r="K271" i="40"/>
  <c r="J271" i="40"/>
  <c r="I271" i="40"/>
  <c r="S270" i="40"/>
  <c r="R270" i="40"/>
  <c r="N270" i="40"/>
  <c r="L270" i="40"/>
  <c r="K270" i="40"/>
  <c r="J270" i="40"/>
  <c r="I270" i="40"/>
  <c r="S269" i="40"/>
  <c r="R269" i="40"/>
  <c r="N269" i="40"/>
  <c r="L269" i="40"/>
  <c r="K269" i="40"/>
  <c r="J269" i="40"/>
  <c r="I269" i="40"/>
  <c r="S268" i="40"/>
  <c r="R268" i="40"/>
  <c r="N268" i="40"/>
  <c r="L268" i="40"/>
  <c r="K268" i="40"/>
  <c r="J268" i="40"/>
  <c r="I268" i="40"/>
  <c r="S267" i="40"/>
  <c r="R267" i="40"/>
  <c r="N267" i="40"/>
  <c r="L267" i="40"/>
  <c r="K267" i="40"/>
  <c r="J267" i="40"/>
  <c r="I267" i="40"/>
  <c r="S265" i="40"/>
  <c r="R265" i="40"/>
  <c r="N265" i="40"/>
  <c r="L265" i="40"/>
  <c r="K265" i="40"/>
  <c r="J265" i="40"/>
  <c r="I265" i="40"/>
  <c r="S264" i="40"/>
  <c r="R264" i="40"/>
  <c r="N264" i="40"/>
  <c r="L264" i="40"/>
  <c r="K264" i="40"/>
  <c r="J264" i="40"/>
  <c r="I264" i="40"/>
  <c r="S263" i="40"/>
  <c r="R263" i="40"/>
  <c r="N263" i="40"/>
  <c r="L263" i="40"/>
  <c r="K263" i="40"/>
  <c r="J263" i="40"/>
  <c r="I263" i="40"/>
  <c r="S262" i="40"/>
  <c r="R262" i="40"/>
  <c r="N262" i="40"/>
  <c r="L262" i="40"/>
  <c r="K262" i="40"/>
  <c r="J262" i="40"/>
  <c r="I262" i="40"/>
  <c r="J261" i="40"/>
  <c r="I261" i="40"/>
  <c r="I259" i="40"/>
  <c r="I258" i="40"/>
  <c r="I257" i="40"/>
  <c r="I256" i="40"/>
  <c r="I255" i="40"/>
  <c r="I253" i="40"/>
  <c r="I252" i="40"/>
  <c r="I251" i="40"/>
  <c r="I250" i="40"/>
  <c r="S249" i="40"/>
  <c r="R249" i="40"/>
  <c r="N249" i="40"/>
  <c r="L249" i="40"/>
  <c r="K249" i="40"/>
  <c r="J249" i="40"/>
  <c r="I249" i="40"/>
  <c r="S248" i="40"/>
  <c r="R248" i="40"/>
  <c r="N248" i="40"/>
  <c r="L248" i="40"/>
  <c r="K248" i="40"/>
  <c r="J248" i="40"/>
  <c r="I248" i="40"/>
  <c r="S247" i="40"/>
  <c r="R247" i="40"/>
  <c r="N247" i="40"/>
  <c r="L247" i="40"/>
  <c r="K247" i="40"/>
  <c r="J247" i="40"/>
  <c r="I247" i="40"/>
  <c r="S246" i="40"/>
  <c r="R246" i="40"/>
  <c r="N246" i="40"/>
  <c r="L246" i="40"/>
  <c r="K246" i="40"/>
  <c r="J246" i="40"/>
  <c r="I246" i="40"/>
  <c r="S245" i="40"/>
  <c r="R245" i="40"/>
  <c r="N245" i="40"/>
  <c r="L245" i="40"/>
  <c r="K245" i="40"/>
  <c r="J245" i="40"/>
  <c r="I245" i="40"/>
  <c r="I244" i="40"/>
  <c r="I243" i="40"/>
  <c r="I242" i="40"/>
  <c r="I241" i="40"/>
  <c r="I240" i="40"/>
  <c r="I238" i="40"/>
  <c r="I237" i="40"/>
  <c r="I236" i="40"/>
  <c r="I235" i="40"/>
  <c r="I234" i="40"/>
  <c r="S232" i="40"/>
  <c r="R232" i="40"/>
  <c r="N232" i="40"/>
  <c r="L232" i="40"/>
  <c r="K232" i="40"/>
  <c r="J232" i="40"/>
  <c r="I232" i="40"/>
  <c r="S231" i="40"/>
  <c r="R231" i="40"/>
  <c r="N231" i="40"/>
  <c r="L231" i="40"/>
  <c r="K231" i="40"/>
  <c r="J231" i="40"/>
  <c r="I231" i="40"/>
  <c r="S230" i="40"/>
  <c r="R230" i="40"/>
  <c r="N230" i="40"/>
  <c r="L230" i="40"/>
  <c r="K230" i="40"/>
  <c r="J230" i="40"/>
  <c r="I230" i="40"/>
  <c r="S229" i="40"/>
  <c r="R229" i="40"/>
  <c r="N229" i="40"/>
  <c r="L229" i="40"/>
  <c r="K229" i="40"/>
  <c r="J229" i="40"/>
  <c r="I229" i="40"/>
  <c r="J228" i="40"/>
  <c r="I228" i="40"/>
  <c r="S226" i="40"/>
  <c r="R226" i="40"/>
  <c r="N226" i="40"/>
  <c r="L226" i="40"/>
  <c r="K226" i="40"/>
  <c r="J226" i="40"/>
  <c r="I226" i="40"/>
  <c r="S225" i="40"/>
  <c r="R225" i="40"/>
  <c r="N225" i="40"/>
  <c r="L225" i="40"/>
  <c r="K225" i="40"/>
  <c r="J225" i="40"/>
  <c r="I225" i="40"/>
  <c r="S224" i="40"/>
  <c r="R224" i="40"/>
  <c r="N224" i="40"/>
  <c r="L224" i="40"/>
  <c r="K224" i="40"/>
  <c r="J224" i="40"/>
  <c r="I224" i="40"/>
  <c r="S223" i="40"/>
  <c r="R223" i="40"/>
  <c r="N223" i="40"/>
  <c r="L223" i="40"/>
  <c r="K223" i="40"/>
  <c r="J223" i="40"/>
  <c r="I223" i="40"/>
  <c r="S222" i="40"/>
  <c r="R222" i="40"/>
  <c r="N222" i="40"/>
  <c r="L222" i="40"/>
  <c r="K222" i="40"/>
  <c r="J222" i="40"/>
  <c r="I222" i="40"/>
  <c r="S221" i="40"/>
  <c r="R221" i="40"/>
  <c r="N221" i="40"/>
  <c r="L221" i="40"/>
  <c r="K221" i="40"/>
  <c r="J221" i="40"/>
  <c r="I221" i="40"/>
  <c r="S220" i="40"/>
  <c r="R220" i="40"/>
  <c r="N220" i="40"/>
  <c r="L220" i="40"/>
  <c r="K220" i="40"/>
  <c r="J220" i="40"/>
  <c r="I220" i="40"/>
  <c r="S219" i="40"/>
  <c r="R219" i="40"/>
  <c r="N219" i="40"/>
  <c r="L219" i="40"/>
  <c r="K219" i="40"/>
  <c r="J219" i="40"/>
  <c r="I219" i="40"/>
  <c r="S218" i="40"/>
  <c r="R218" i="40"/>
  <c r="N218" i="40"/>
  <c r="L218" i="40"/>
  <c r="K218" i="40"/>
  <c r="J218" i="40"/>
  <c r="I218" i="40"/>
  <c r="S217" i="40"/>
  <c r="R217" i="40"/>
  <c r="N217" i="40"/>
  <c r="L217" i="40"/>
  <c r="K217" i="40"/>
  <c r="J217" i="40"/>
  <c r="I217" i="40"/>
  <c r="S216" i="40"/>
  <c r="R216" i="40"/>
  <c r="N216" i="40"/>
  <c r="L216" i="40"/>
  <c r="K216" i="40"/>
  <c r="J216" i="40"/>
  <c r="I216" i="40"/>
  <c r="S215" i="40"/>
  <c r="R215" i="40"/>
  <c r="N215" i="40"/>
  <c r="L215" i="40"/>
  <c r="K215" i="40"/>
  <c r="J215" i="40"/>
  <c r="I215" i="40"/>
  <c r="S214" i="40"/>
  <c r="R214" i="40"/>
  <c r="N214" i="40"/>
  <c r="L214" i="40"/>
  <c r="K214" i="40"/>
  <c r="J214" i="40"/>
  <c r="I214" i="40"/>
  <c r="S213" i="40"/>
  <c r="R213" i="40"/>
  <c r="N213" i="40"/>
  <c r="L213" i="40"/>
  <c r="K213" i="40"/>
  <c r="J213" i="40"/>
  <c r="I213" i="40"/>
  <c r="S211" i="40"/>
  <c r="R211" i="40"/>
  <c r="N211" i="40"/>
  <c r="L211" i="40"/>
  <c r="K211" i="40"/>
  <c r="J211" i="40"/>
  <c r="I211" i="40"/>
  <c r="S210" i="40"/>
  <c r="R210" i="40"/>
  <c r="N210" i="40"/>
  <c r="L210" i="40"/>
  <c r="K210" i="40"/>
  <c r="J210" i="40"/>
  <c r="I210" i="40"/>
  <c r="S209" i="40"/>
  <c r="R209" i="40"/>
  <c r="N209" i="40"/>
  <c r="L209" i="40"/>
  <c r="K209" i="40"/>
  <c r="J209" i="40"/>
  <c r="I209" i="40"/>
  <c r="S208" i="40"/>
  <c r="R208" i="40"/>
  <c r="N208" i="40"/>
  <c r="L208" i="40"/>
  <c r="K208" i="40"/>
  <c r="J208" i="40"/>
  <c r="I208" i="40"/>
  <c r="J207" i="40"/>
  <c r="I207" i="40"/>
  <c r="S178" i="40"/>
  <c r="R178" i="40"/>
  <c r="N178" i="40"/>
  <c r="L178" i="40"/>
  <c r="K178" i="40"/>
  <c r="J178" i="40"/>
  <c r="I178" i="40"/>
  <c r="S177" i="40"/>
  <c r="R177" i="40"/>
  <c r="N177" i="40"/>
  <c r="L177" i="40"/>
  <c r="K177" i="40"/>
  <c r="J177" i="40"/>
  <c r="I177" i="40"/>
  <c r="S176" i="40"/>
  <c r="R176" i="40"/>
  <c r="N176" i="40"/>
  <c r="L176" i="40"/>
  <c r="K176" i="40"/>
  <c r="J176" i="40"/>
  <c r="I176" i="40"/>
  <c r="S175" i="40"/>
  <c r="R175" i="40"/>
  <c r="N175" i="40"/>
  <c r="L175" i="40"/>
  <c r="K175" i="40"/>
  <c r="J175" i="40"/>
  <c r="I175" i="40"/>
  <c r="J174" i="40"/>
  <c r="I174" i="40"/>
  <c r="S172" i="40"/>
  <c r="R172" i="40"/>
  <c r="N172" i="40"/>
  <c r="L172" i="40"/>
  <c r="K172" i="40"/>
  <c r="J172" i="40"/>
  <c r="I172" i="40"/>
  <c r="S171" i="40"/>
  <c r="R171" i="40"/>
  <c r="N171" i="40"/>
  <c r="L171" i="40"/>
  <c r="K171" i="40"/>
  <c r="J171" i="40"/>
  <c r="I171" i="40"/>
  <c r="S170" i="40"/>
  <c r="R170" i="40"/>
  <c r="N170" i="40"/>
  <c r="L170" i="40"/>
  <c r="K170" i="40"/>
  <c r="J170" i="40"/>
  <c r="I170" i="40"/>
  <c r="S169" i="40"/>
  <c r="R169" i="40"/>
  <c r="N169" i="40"/>
  <c r="L169" i="40"/>
  <c r="K169" i="40"/>
  <c r="J169" i="40"/>
  <c r="I169" i="40"/>
  <c r="S168" i="40"/>
  <c r="R168" i="40"/>
  <c r="N168" i="40"/>
  <c r="L168" i="40"/>
  <c r="K168" i="40"/>
  <c r="J168" i="40"/>
  <c r="I168" i="40"/>
  <c r="S167" i="40"/>
  <c r="R167" i="40"/>
  <c r="N167" i="40"/>
  <c r="L167" i="40"/>
  <c r="K167" i="40"/>
  <c r="J167" i="40"/>
  <c r="I167" i="40"/>
  <c r="S166" i="40"/>
  <c r="R166" i="40"/>
  <c r="N166" i="40"/>
  <c r="L166" i="40"/>
  <c r="K166" i="40"/>
  <c r="J166" i="40"/>
  <c r="I166" i="40"/>
  <c r="S165" i="40"/>
  <c r="R165" i="40"/>
  <c r="N165" i="40"/>
  <c r="L165" i="40"/>
  <c r="K165" i="40"/>
  <c r="J165" i="40"/>
  <c r="I165" i="40"/>
  <c r="S164" i="40"/>
  <c r="R164" i="40"/>
  <c r="N164" i="40"/>
  <c r="L164" i="40"/>
  <c r="K164" i="40"/>
  <c r="J164" i="40"/>
  <c r="I164" i="40"/>
  <c r="S163" i="40"/>
  <c r="R163" i="40"/>
  <c r="N163" i="40"/>
  <c r="L163" i="40"/>
  <c r="K163" i="40"/>
  <c r="J163" i="40"/>
  <c r="I163" i="40"/>
  <c r="S162" i="40"/>
  <c r="R162" i="40"/>
  <c r="N162" i="40"/>
  <c r="L162" i="40"/>
  <c r="K162" i="40"/>
  <c r="J162" i="40"/>
  <c r="I162" i="40"/>
  <c r="S161" i="40"/>
  <c r="R161" i="40"/>
  <c r="N161" i="40"/>
  <c r="L161" i="40"/>
  <c r="K161" i="40"/>
  <c r="J161" i="40"/>
  <c r="I161" i="40"/>
  <c r="S160" i="40"/>
  <c r="R160" i="40"/>
  <c r="N160" i="40"/>
  <c r="L160" i="40"/>
  <c r="K160" i="40"/>
  <c r="J160" i="40"/>
  <c r="I160" i="40"/>
  <c r="S159" i="40"/>
  <c r="R159" i="40"/>
  <c r="N159" i="40"/>
  <c r="L159" i="40"/>
  <c r="K159" i="40"/>
  <c r="J159" i="40"/>
  <c r="I159" i="40"/>
  <c r="S157" i="40"/>
  <c r="R157" i="40"/>
  <c r="N157" i="40"/>
  <c r="L157" i="40"/>
  <c r="K157" i="40"/>
  <c r="J157" i="40"/>
  <c r="I157" i="40"/>
  <c r="S156" i="40"/>
  <c r="R156" i="40"/>
  <c r="N156" i="40"/>
  <c r="L156" i="40"/>
  <c r="K156" i="40"/>
  <c r="J156" i="40"/>
  <c r="I156" i="40"/>
  <c r="S155" i="40"/>
  <c r="R155" i="40"/>
  <c r="N155" i="40"/>
  <c r="L155" i="40"/>
  <c r="K155" i="40"/>
  <c r="J155" i="40"/>
  <c r="I155" i="40"/>
  <c r="S154" i="40"/>
  <c r="R154" i="40"/>
  <c r="N154" i="40"/>
  <c r="L154" i="40"/>
  <c r="K154" i="40"/>
  <c r="J154" i="40"/>
  <c r="I154" i="40"/>
  <c r="N153" i="40"/>
  <c r="L153" i="40"/>
  <c r="K153" i="40"/>
  <c r="J153" i="40"/>
  <c r="I153" i="40"/>
  <c r="S124" i="40"/>
  <c r="R124" i="40"/>
  <c r="N124" i="40"/>
  <c r="L124" i="40"/>
  <c r="K124" i="40"/>
  <c r="J124" i="40"/>
  <c r="I124" i="40"/>
  <c r="S123" i="40"/>
  <c r="R123" i="40"/>
  <c r="N123" i="40"/>
  <c r="L123" i="40"/>
  <c r="K123" i="40"/>
  <c r="J123" i="40"/>
  <c r="I123" i="40"/>
  <c r="S122" i="40"/>
  <c r="R122" i="40"/>
  <c r="N122" i="40"/>
  <c r="L122" i="40"/>
  <c r="K122" i="40"/>
  <c r="J122" i="40"/>
  <c r="I122" i="40"/>
  <c r="S121" i="40"/>
  <c r="R121" i="40"/>
  <c r="N121" i="40"/>
  <c r="L121" i="40"/>
  <c r="K121" i="40"/>
  <c r="J121" i="40"/>
  <c r="I121" i="40"/>
  <c r="J120" i="40"/>
  <c r="I120" i="40"/>
  <c r="S118" i="40"/>
  <c r="R118" i="40"/>
  <c r="N118" i="40"/>
  <c r="L118" i="40"/>
  <c r="K118" i="40"/>
  <c r="J118" i="40"/>
  <c r="I118" i="40"/>
  <c r="S117" i="40"/>
  <c r="R117" i="40"/>
  <c r="N117" i="40"/>
  <c r="L117" i="40"/>
  <c r="K117" i="40"/>
  <c r="J117" i="40"/>
  <c r="I117" i="40"/>
  <c r="S116" i="40"/>
  <c r="R116" i="40"/>
  <c r="N116" i="40"/>
  <c r="L116" i="40"/>
  <c r="K116" i="40"/>
  <c r="J116" i="40"/>
  <c r="I116" i="40"/>
  <c r="S115" i="40"/>
  <c r="R115" i="40"/>
  <c r="N115" i="40"/>
  <c r="L115" i="40"/>
  <c r="K115" i="40"/>
  <c r="J115" i="40"/>
  <c r="I115" i="40"/>
  <c r="S114" i="40"/>
  <c r="R114" i="40"/>
  <c r="N114" i="40"/>
  <c r="L114" i="40"/>
  <c r="K114" i="40"/>
  <c r="J114" i="40"/>
  <c r="I114" i="40"/>
  <c r="S113" i="40"/>
  <c r="R113" i="40"/>
  <c r="N113" i="40"/>
  <c r="L113" i="40"/>
  <c r="K113" i="40"/>
  <c r="J113" i="40"/>
  <c r="I113" i="40"/>
  <c r="S112" i="40"/>
  <c r="R112" i="40"/>
  <c r="N112" i="40"/>
  <c r="L112" i="40"/>
  <c r="K112" i="40"/>
  <c r="J112" i="40"/>
  <c r="I112" i="40"/>
  <c r="S111" i="40"/>
  <c r="R111" i="40"/>
  <c r="N111" i="40"/>
  <c r="L111" i="40"/>
  <c r="K111" i="40"/>
  <c r="J111" i="40"/>
  <c r="I111" i="40"/>
  <c r="S110" i="40"/>
  <c r="R110" i="40"/>
  <c r="N110" i="40"/>
  <c r="L110" i="40"/>
  <c r="K110" i="40"/>
  <c r="J110" i="40"/>
  <c r="I110" i="40"/>
  <c r="S109" i="40"/>
  <c r="R109" i="40"/>
  <c r="N109" i="40"/>
  <c r="L109" i="40"/>
  <c r="K109" i="40"/>
  <c r="J109" i="40"/>
  <c r="I109" i="40"/>
  <c r="S108" i="40"/>
  <c r="R108" i="40"/>
  <c r="N108" i="40"/>
  <c r="L108" i="40"/>
  <c r="K108" i="40"/>
  <c r="J108" i="40"/>
  <c r="I108" i="40"/>
  <c r="S107" i="40"/>
  <c r="R107" i="40"/>
  <c r="N107" i="40"/>
  <c r="L107" i="40"/>
  <c r="K107" i="40"/>
  <c r="J107" i="40"/>
  <c r="I107" i="40"/>
  <c r="S106" i="40"/>
  <c r="R106" i="40"/>
  <c r="N106" i="40"/>
  <c r="L106" i="40"/>
  <c r="K106" i="40"/>
  <c r="J106" i="40"/>
  <c r="I106" i="40"/>
  <c r="S105" i="40"/>
  <c r="R105" i="40"/>
  <c r="N105" i="40"/>
  <c r="L105" i="40"/>
  <c r="K105" i="40"/>
  <c r="J105" i="40"/>
  <c r="I105" i="40"/>
  <c r="S103" i="40"/>
  <c r="R103" i="40"/>
  <c r="N103" i="40"/>
  <c r="L103" i="40"/>
  <c r="K103" i="40"/>
  <c r="J103" i="40"/>
  <c r="I103" i="40"/>
  <c r="S102" i="40"/>
  <c r="R102" i="40"/>
  <c r="N102" i="40"/>
  <c r="L102" i="40"/>
  <c r="K102" i="40"/>
  <c r="J102" i="40"/>
  <c r="I102" i="40"/>
  <c r="S101" i="40"/>
  <c r="R101" i="40"/>
  <c r="N101" i="40"/>
  <c r="L101" i="40"/>
  <c r="K101" i="40"/>
  <c r="J101" i="40"/>
  <c r="I101" i="40"/>
  <c r="S100" i="40"/>
  <c r="R100" i="40"/>
  <c r="N100" i="40"/>
  <c r="L100" i="40"/>
  <c r="K100" i="40"/>
  <c r="J100" i="40"/>
  <c r="I100" i="40"/>
  <c r="J99" i="40"/>
  <c r="I99" i="40"/>
  <c r="S97" i="40"/>
  <c r="R97" i="40"/>
  <c r="N97" i="40"/>
  <c r="L97" i="40"/>
  <c r="K97" i="40"/>
  <c r="J97" i="40"/>
  <c r="I97" i="40"/>
  <c r="S96" i="40"/>
  <c r="R96" i="40"/>
  <c r="N96" i="40"/>
  <c r="L96" i="40"/>
  <c r="K96" i="40"/>
  <c r="J96" i="40"/>
  <c r="I96" i="40"/>
  <c r="S95" i="40"/>
  <c r="R95" i="40"/>
  <c r="N95" i="40"/>
  <c r="L95" i="40"/>
  <c r="K95" i="40"/>
  <c r="J95" i="40"/>
  <c r="I95" i="40"/>
  <c r="S94" i="40"/>
  <c r="R94" i="40"/>
  <c r="N94" i="40"/>
  <c r="L94" i="40"/>
  <c r="K94" i="40"/>
  <c r="J94" i="40"/>
  <c r="I94" i="40"/>
  <c r="J93" i="40"/>
  <c r="I93" i="40"/>
  <c r="S91" i="40"/>
  <c r="R91" i="40"/>
  <c r="N91" i="40"/>
  <c r="L91" i="40"/>
  <c r="K91" i="40"/>
  <c r="J91" i="40"/>
  <c r="I91" i="40"/>
  <c r="S90" i="40"/>
  <c r="R90" i="40"/>
  <c r="N90" i="40"/>
  <c r="L90" i="40"/>
  <c r="K90" i="40"/>
  <c r="J90" i="40"/>
  <c r="I90" i="40"/>
  <c r="S89" i="40"/>
  <c r="R89" i="40"/>
  <c r="N89" i="40"/>
  <c r="L89" i="40"/>
  <c r="K89" i="40"/>
  <c r="J89" i="40"/>
  <c r="I89" i="40"/>
  <c r="S88" i="40"/>
  <c r="R88" i="40"/>
  <c r="N88" i="40"/>
  <c r="L88" i="40"/>
  <c r="K88" i="40"/>
  <c r="J88" i="40"/>
  <c r="I88" i="40"/>
  <c r="S87" i="40"/>
  <c r="R87" i="40"/>
  <c r="N87" i="40"/>
  <c r="L87" i="40"/>
  <c r="K87" i="40"/>
  <c r="J87" i="40"/>
  <c r="I87" i="40"/>
  <c r="S86" i="40"/>
  <c r="R86" i="40"/>
  <c r="N86" i="40"/>
  <c r="L86" i="40"/>
  <c r="K86" i="40"/>
  <c r="J86" i="40"/>
  <c r="I86" i="40"/>
  <c r="S85" i="40"/>
  <c r="R85" i="40"/>
  <c r="N85" i="40"/>
  <c r="L85" i="40"/>
  <c r="K85" i="40"/>
  <c r="J85" i="40"/>
  <c r="I85" i="40"/>
  <c r="S84" i="40"/>
  <c r="R84" i="40"/>
  <c r="N84" i="40"/>
  <c r="L84" i="40"/>
  <c r="K84" i="40"/>
  <c r="J84" i="40"/>
  <c r="I84" i="40"/>
  <c r="S83" i="40"/>
  <c r="R83" i="40"/>
  <c r="N83" i="40"/>
  <c r="L83" i="40"/>
  <c r="K83" i="40"/>
  <c r="J83" i="40"/>
  <c r="I83" i="40"/>
  <c r="S82" i="40"/>
  <c r="R82" i="40"/>
  <c r="N82" i="40"/>
  <c r="L82" i="40"/>
  <c r="K82" i="40"/>
  <c r="J82" i="40"/>
  <c r="I82" i="40"/>
  <c r="S81" i="40"/>
  <c r="R81" i="40"/>
  <c r="N81" i="40"/>
  <c r="L81" i="40"/>
  <c r="K81" i="40"/>
  <c r="J81" i="40"/>
  <c r="I81" i="40"/>
  <c r="S80" i="40"/>
  <c r="R80" i="40"/>
  <c r="N80" i="40"/>
  <c r="L80" i="40"/>
  <c r="K80" i="40"/>
  <c r="J80" i="40"/>
  <c r="I80" i="40"/>
  <c r="S79" i="40"/>
  <c r="R79" i="40"/>
  <c r="N79" i="40"/>
  <c r="L79" i="40"/>
  <c r="K79" i="40"/>
  <c r="J79" i="40"/>
  <c r="I79" i="40"/>
  <c r="S78" i="40"/>
  <c r="R78" i="40"/>
  <c r="N78" i="40"/>
  <c r="L78" i="40"/>
  <c r="K78" i="40"/>
  <c r="J78" i="40"/>
  <c r="I78" i="40"/>
  <c r="S76" i="40"/>
  <c r="R76" i="40"/>
  <c r="N76" i="40"/>
  <c r="L76" i="40"/>
  <c r="K76" i="40"/>
  <c r="J76" i="40"/>
  <c r="I76" i="40"/>
  <c r="S75" i="40"/>
  <c r="R75" i="40"/>
  <c r="N75" i="40"/>
  <c r="L75" i="40"/>
  <c r="K75" i="40"/>
  <c r="J75" i="40"/>
  <c r="I75" i="40"/>
  <c r="S74" i="40"/>
  <c r="R74" i="40"/>
  <c r="N74" i="40"/>
  <c r="L74" i="40"/>
  <c r="K74" i="40"/>
  <c r="J74" i="40"/>
  <c r="I74" i="40"/>
  <c r="S73" i="40"/>
  <c r="R73" i="40"/>
  <c r="N73" i="40"/>
  <c r="L73" i="40"/>
  <c r="K73" i="40"/>
  <c r="J73" i="40"/>
  <c r="I73" i="40"/>
  <c r="J72" i="40"/>
  <c r="I72" i="40"/>
  <c r="S70" i="40"/>
  <c r="R70" i="40"/>
  <c r="N70" i="40"/>
  <c r="L70" i="40"/>
  <c r="K70" i="40"/>
  <c r="J70" i="40"/>
  <c r="I70" i="40"/>
  <c r="S69" i="40"/>
  <c r="R69" i="40"/>
  <c r="N69" i="40"/>
  <c r="L69" i="40"/>
  <c r="K69" i="40"/>
  <c r="J69" i="40"/>
  <c r="I69" i="40"/>
  <c r="S68" i="40"/>
  <c r="R68" i="40"/>
  <c r="N68" i="40"/>
  <c r="L68" i="40"/>
  <c r="K68" i="40"/>
  <c r="J68" i="40"/>
  <c r="I68" i="40"/>
  <c r="S67" i="40"/>
  <c r="R67" i="40"/>
  <c r="N67" i="40"/>
  <c r="L67" i="40"/>
  <c r="K67" i="40"/>
  <c r="J67" i="40"/>
  <c r="I67" i="40"/>
  <c r="J66" i="40"/>
  <c r="I66" i="40"/>
  <c r="S64" i="40"/>
  <c r="R64" i="40"/>
  <c r="N64" i="40"/>
  <c r="L64" i="40"/>
  <c r="K64" i="40"/>
  <c r="J64" i="40"/>
  <c r="I64" i="40"/>
  <c r="S63" i="40"/>
  <c r="R63" i="40"/>
  <c r="N63" i="40"/>
  <c r="L63" i="40"/>
  <c r="K63" i="40"/>
  <c r="J63" i="40"/>
  <c r="I63" i="40"/>
  <c r="S62" i="40"/>
  <c r="R62" i="40"/>
  <c r="N62" i="40"/>
  <c r="L62" i="40"/>
  <c r="K62" i="40"/>
  <c r="J62" i="40"/>
  <c r="I62" i="40"/>
  <c r="S61" i="40"/>
  <c r="R61" i="40"/>
  <c r="N61" i="40"/>
  <c r="L61" i="40"/>
  <c r="K61" i="40"/>
  <c r="J61" i="40"/>
  <c r="I61" i="40"/>
  <c r="S60" i="40"/>
  <c r="R60" i="40"/>
  <c r="N60" i="40"/>
  <c r="L60" i="40"/>
  <c r="K60" i="40"/>
  <c r="J60" i="40"/>
  <c r="I60" i="40"/>
  <c r="S59" i="40"/>
  <c r="R59" i="40"/>
  <c r="N59" i="40"/>
  <c r="L59" i="40"/>
  <c r="K59" i="40"/>
  <c r="J59" i="40"/>
  <c r="I59" i="40"/>
  <c r="S58" i="40"/>
  <c r="R58" i="40"/>
  <c r="N58" i="40"/>
  <c r="L58" i="40"/>
  <c r="K58" i="40"/>
  <c r="J58" i="40"/>
  <c r="I58" i="40"/>
  <c r="S57" i="40"/>
  <c r="R57" i="40"/>
  <c r="N57" i="40"/>
  <c r="L57" i="40"/>
  <c r="K57" i="40"/>
  <c r="J57" i="40"/>
  <c r="I57" i="40"/>
  <c r="S56" i="40"/>
  <c r="R56" i="40"/>
  <c r="N56" i="40"/>
  <c r="L56" i="40"/>
  <c r="K56" i="40"/>
  <c r="J56" i="40"/>
  <c r="I56" i="40"/>
  <c r="S55" i="40"/>
  <c r="R55" i="40"/>
  <c r="N55" i="40"/>
  <c r="L55" i="40"/>
  <c r="K55" i="40"/>
  <c r="J55" i="40"/>
  <c r="I55" i="40"/>
  <c r="S54" i="40"/>
  <c r="R54" i="40"/>
  <c r="N54" i="40"/>
  <c r="L54" i="40"/>
  <c r="K54" i="40"/>
  <c r="J54" i="40"/>
  <c r="I54" i="40"/>
  <c r="S53" i="40"/>
  <c r="R53" i="40"/>
  <c r="N53" i="40"/>
  <c r="L53" i="40"/>
  <c r="K53" i="40"/>
  <c r="J53" i="40"/>
  <c r="I53" i="40"/>
  <c r="S52" i="40"/>
  <c r="R52" i="40"/>
  <c r="N52" i="40"/>
  <c r="L52" i="40"/>
  <c r="K52" i="40"/>
  <c r="J52" i="40"/>
  <c r="I52" i="40"/>
  <c r="S51" i="40"/>
  <c r="R51" i="40"/>
  <c r="N51" i="40"/>
  <c r="L51" i="40"/>
  <c r="K51" i="40"/>
  <c r="J51" i="40"/>
  <c r="I51" i="40"/>
  <c r="S49" i="40"/>
  <c r="R49" i="40"/>
  <c r="N49" i="40"/>
  <c r="L49" i="40"/>
  <c r="K49" i="40"/>
  <c r="J49" i="40"/>
  <c r="I49" i="40"/>
  <c r="S48" i="40"/>
  <c r="R48" i="40"/>
  <c r="N48" i="40"/>
  <c r="L48" i="40"/>
  <c r="K48" i="40"/>
  <c r="J48" i="40"/>
  <c r="I48" i="40"/>
  <c r="S47" i="40"/>
  <c r="R47" i="40"/>
  <c r="N47" i="40"/>
  <c r="L47" i="40"/>
  <c r="K47" i="40"/>
  <c r="J47" i="40"/>
  <c r="I47" i="40"/>
  <c r="S46" i="40"/>
  <c r="R46" i="40"/>
  <c r="N46" i="40"/>
  <c r="L46" i="40"/>
  <c r="K46" i="40"/>
  <c r="J46" i="40"/>
  <c r="I46" i="40"/>
  <c r="J45" i="40"/>
  <c r="I45" i="40"/>
  <c r="I43" i="40"/>
  <c r="I41" i="40"/>
  <c r="S27" i="40"/>
  <c r="R27" i="40"/>
  <c r="O27" i="40"/>
  <c r="L27" i="40"/>
  <c r="K27" i="40"/>
  <c r="J27" i="40"/>
  <c r="J41" i="40" s="1"/>
  <c r="J43" i="40" s="1"/>
  <c r="I27" i="40"/>
  <c r="E27" i="40"/>
  <c r="S26" i="40"/>
  <c r="R26" i="40"/>
  <c r="O26" i="40"/>
  <c r="L26" i="40"/>
  <c r="K26" i="40"/>
  <c r="J26" i="40"/>
  <c r="I26" i="40"/>
  <c r="E26" i="40"/>
  <c r="S18" i="40"/>
  <c r="R18" i="40"/>
  <c r="O18" i="40"/>
  <c r="L18" i="40"/>
  <c r="K18" i="40"/>
  <c r="J18" i="40"/>
  <c r="I18" i="40"/>
  <c r="E18" i="40"/>
  <c r="S17" i="40"/>
  <c r="R17" i="40"/>
  <c r="O17" i="40"/>
  <c r="L17" i="40"/>
  <c r="K17" i="40"/>
  <c r="J17" i="40"/>
  <c r="I17" i="40"/>
  <c r="E17" i="40"/>
  <c r="S16" i="40"/>
  <c r="R16" i="40"/>
  <c r="O16" i="40"/>
  <c r="L16" i="40"/>
  <c r="K16" i="40"/>
  <c r="J16" i="40"/>
  <c r="I16" i="40"/>
  <c r="S37" i="40"/>
  <c r="R37" i="40"/>
  <c r="O37" i="40"/>
  <c r="L37" i="40"/>
  <c r="K37" i="40"/>
  <c r="J37" i="40"/>
  <c r="I37" i="40"/>
  <c r="E37" i="40"/>
  <c r="S36" i="40"/>
  <c r="R36" i="40"/>
  <c r="O36" i="40"/>
  <c r="L36" i="40"/>
  <c r="K36" i="40"/>
  <c r="J36" i="40"/>
  <c r="I36" i="40"/>
  <c r="E36" i="40"/>
  <c r="S35" i="40"/>
  <c r="R35" i="40"/>
  <c r="O35" i="40"/>
  <c r="L35" i="40"/>
  <c r="K35" i="40"/>
  <c r="J35" i="40"/>
  <c r="I35" i="40"/>
  <c r="E35" i="40"/>
  <c r="S34" i="40"/>
  <c r="R34" i="40"/>
  <c r="O34" i="40"/>
  <c r="L34" i="40"/>
  <c r="K34" i="40"/>
  <c r="J34" i="40"/>
  <c r="I34" i="40"/>
  <c r="E34" i="40"/>
  <c r="S33" i="40"/>
  <c r="R33" i="40"/>
  <c r="O33" i="40"/>
  <c r="L33" i="40"/>
  <c r="K33" i="40"/>
  <c r="J33" i="40"/>
  <c r="I33" i="40"/>
  <c r="E33" i="40"/>
  <c r="S31" i="40"/>
  <c r="R31" i="40"/>
  <c r="O31" i="40"/>
  <c r="L31" i="40"/>
  <c r="K31" i="40"/>
  <c r="J31" i="40"/>
  <c r="I31" i="40"/>
  <c r="E31" i="40"/>
  <c r="S29" i="40"/>
  <c r="R29" i="40"/>
  <c r="O29" i="40"/>
  <c r="L29" i="40"/>
  <c r="K29" i="40"/>
  <c r="J29" i="40"/>
  <c r="I29" i="40"/>
  <c r="E29" i="40"/>
  <c r="S24" i="40"/>
  <c r="R24" i="40"/>
  <c r="O24" i="40"/>
  <c r="L24" i="40"/>
  <c r="K24" i="40"/>
  <c r="J24" i="40"/>
  <c r="I24" i="40"/>
  <c r="E24" i="40"/>
  <c r="S23" i="40"/>
  <c r="R23" i="40"/>
  <c r="O23" i="40"/>
  <c r="L23" i="40"/>
  <c r="K23" i="40"/>
  <c r="J23" i="40"/>
  <c r="I23" i="40"/>
  <c r="E23" i="40"/>
  <c r="S22" i="40"/>
  <c r="R22" i="40"/>
  <c r="O22" i="40"/>
  <c r="L22" i="40"/>
  <c r="K22" i="40"/>
  <c r="J22" i="40"/>
  <c r="I22" i="40"/>
  <c r="E22" i="40"/>
  <c r="S20" i="40"/>
  <c r="R20" i="40"/>
  <c r="O20" i="40"/>
  <c r="L20" i="40"/>
  <c r="K20" i="40"/>
  <c r="J20" i="40"/>
  <c r="I20" i="40"/>
  <c r="E20" i="40"/>
  <c r="S19" i="40"/>
  <c r="R19" i="40"/>
  <c r="O19" i="40"/>
  <c r="L19" i="40"/>
  <c r="K19" i="40"/>
  <c r="J19" i="40"/>
  <c r="I19" i="40"/>
  <c r="E19" i="40"/>
  <c r="S14" i="40"/>
  <c r="R14" i="40"/>
  <c r="O14" i="40"/>
  <c r="L14" i="40"/>
  <c r="K14" i="40"/>
  <c r="J14" i="40"/>
  <c r="I14" i="40"/>
  <c r="E14" i="40"/>
  <c r="S13" i="40"/>
  <c r="R13" i="40"/>
  <c r="O13" i="40"/>
  <c r="L13" i="40"/>
  <c r="K13" i="40"/>
  <c r="J13" i="40"/>
  <c r="I13" i="40"/>
  <c r="E13" i="40"/>
  <c r="S12" i="40"/>
  <c r="R12" i="40"/>
  <c r="O12" i="40"/>
  <c r="L12" i="40"/>
  <c r="K12" i="40"/>
  <c r="J12" i="40"/>
  <c r="I12" i="40"/>
  <c r="E12" i="40"/>
  <c r="O11" i="40"/>
  <c r="I11" i="40"/>
  <c r="E11" i="40"/>
  <c r="S10" i="40"/>
  <c r="R10" i="40"/>
  <c r="O10" i="40"/>
  <c r="L10" i="40"/>
  <c r="K10" i="40"/>
  <c r="J10" i="40"/>
  <c r="I10" i="40"/>
  <c r="E10" i="40"/>
  <c r="S9" i="40"/>
  <c r="R9" i="40"/>
  <c r="O9" i="40"/>
  <c r="L9" i="40"/>
  <c r="K9" i="40"/>
  <c r="J9" i="40"/>
  <c r="I9" i="40"/>
  <c r="E9" i="40"/>
  <c r="S8" i="40"/>
  <c r="R8" i="40"/>
  <c r="O8" i="40"/>
  <c r="L8" i="40"/>
  <c r="K8" i="40"/>
  <c r="J8" i="40"/>
  <c r="I8" i="40"/>
  <c r="E8" i="40"/>
  <c r="S6" i="40"/>
  <c r="R6" i="40"/>
  <c r="O6" i="40"/>
  <c r="L6" i="40"/>
  <c r="K6" i="40"/>
  <c r="J6" i="40"/>
  <c r="I6" i="40"/>
  <c r="E6" i="40"/>
  <c r="S4" i="40"/>
  <c r="R4" i="40"/>
  <c r="O4" i="40"/>
  <c r="L4" i="40"/>
  <c r="K4" i="40"/>
  <c r="J4" i="40"/>
  <c r="I4" i="40"/>
  <c r="E4" i="40"/>
  <c r="S3" i="40"/>
  <c r="R3" i="40"/>
  <c r="O3" i="40"/>
  <c r="L3" i="40"/>
  <c r="K3" i="40"/>
  <c r="J3" i="40"/>
  <c r="I3" i="40"/>
  <c r="S3" i="38"/>
  <c r="S4" i="38"/>
  <c r="S5" i="38"/>
  <c r="T3" i="38"/>
  <c r="T4" i="38"/>
  <c r="T5" i="38"/>
  <c r="E5" i="38"/>
  <c r="E4" i="38"/>
  <c r="R3" i="38"/>
  <c r="R4" i="38"/>
  <c r="R5" i="38"/>
  <c r="Q3" i="38"/>
  <c r="P3" i="38"/>
  <c r="P4" i="38"/>
  <c r="P5" i="38"/>
  <c r="O3" i="38"/>
  <c r="O4" i="38"/>
  <c r="O5" i="38"/>
  <c r="N3" i="38"/>
  <c r="N4" i="38"/>
  <c r="N5" i="38"/>
  <c r="M3" i="38"/>
  <c r="M4" i="38"/>
  <c r="M5" i="38"/>
  <c r="L3" i="38"/>
  <c r="L4" i="38"/>
  <c r="L5" i="38"/>
  <c r="K3" i="38"/>
  <c r="K4" i="38"/>
  <c r="K5" i="38"/>
  <c r="J3" i="38"/>
  <c r="J4" i="38"/>
  <c r="J5" i="38"/>
  <c r="I3" i="38"/>
  <c r="I4" i="38"/>
  <c r="I5" i="38"/>
  <c r="E3" i="38"/>
  <c r="Q4" i="38"/>
  <c r="M17" i="22"/>
  <c r="AP21" i="10"/>
  <c r="AN21" i="10"/>
  <c r="AK21" i="10"/>
  <c r="AH21" i="10"/>
  <c r="AG21" i="10"/>
  <c r="AF21" i="10"/>
  <c r="J21" i="10"/>
  <c r="O21" i="10"/>
  <c r="L21" i="10"/>
  <c r="K21" i="10"/>
  <c r="Q5" i="38"/>
  <c r="AB21" i="10" a="1"/>
  <c r="AB21" i="10"/>
  <c r="AI21" i="10" a="1"/>
  <c r="AI21" i="10"/>
  <c r="AH22" i="10"/>
  <c r="AH23" i="10"/>
  <c r="AH24" i="10"/>
  <c r="AF24" i="10"/>
  <c r="AG24" i="10"/>
  <c r="AI24" i="10" a="1"/>
  <c r="AI24" i="10"/>
  <c r="AH25" i="10"/>
  <c r="AH26" i="10"/>
  <c r="AH27" i="10"/>
  <c r="AH28" i="10"/>
  <c r="AH29" i="10"/>
  <c r="AH30" i="10"/>
  <c r="AH31" i="10"/>
  <c r="AH32" i="10"/>
  <c r="AH33" i="10"/>
  <c r="AH34" i="10"/>
  <c r="AH35" i="10"/>
  <c r="AH36" i="10"/>
  <c r="AH37" i="10"/>
  <c r="AH38" i="10"/>
  <c r="AH39" i="10"/>
  <c r="AH40" i="10"/>
  <c r="AH41" i="10"/>
  <c r="AH42" i="10"/>
  <c r="AH43" i="10"/>
  <c r="AH44" i="10"/>
  <c r="AH45" i="10"/>
  <c r="AH46" i="10"/>
  <c r="AH47" i="10"/>
  <c r="AH48" i="10"/>
  <c r="AF48" i="10"/>
  <c r="AG48" i="10"/>
  <c r="AI48" i="10" a="1"/>
  <c r="AI48" i="10"/>
  <c r="AH49" i="10"/>
  <c r="AH50" i="10"/>
  <c r="AH51" i="10"/>
  <c r="AH52" i="10"/>
  <c r="AH53" i="10"/>
  <c r="AF53" i="10"/>
  <c r="AG53" i="10"/>
  <c r="AI53" i="10" a="1"/>
  <c r="AI53" i="10"/>
  <c r="AH54" i="10"/>
  <c r="AH55" i="10"/>
  <c r="AH56" i="10"/>
  <c r="AH57" i="10"/>
  <c r="AH58" i="10"/>
  <c r="AH59" i="10"/>
  <c r="AH60" i="10"/>
  <c r="AH61" i="10"/>
  <c r="AH62" i="10"/>
  <c r="AH63" i="10"/>
  <c r="AH64" i="10"/>
  <c r="AH65" i="10"/>
  <c r="AH66" i="10"/>
  <c r="AH67" i="10"/>
  <c r="AH68" i="10"/>
  <c r="AH69" i="10"/>
  <c r="AH20" i="10"/>
  <c r="AG22" i="10"/>
  <c r="AG23" i="10"/>
  <c r="AG25" i="10"/>
  <c r="AG26" i="10"/>
  <c r="AG27" i="10"/>
  <c r="AG28" i="10"/>
  <c r="AG29" i="10"/>
  <c r="AG30" i="10"/>
  <c r="AG31" i="10"/>
  <c r="AG32" i="10"/>
  <c r="AG33" i="10"/>
  <c r="AG34" i="10"/>
  <c r="AG35" i="10"/>
  <c r="AG36" i="10"/>
  <c r="AG37" i="10"/>
  <c r="AG38" i="10"/>
  <c r="AF38" i="10"/>
  <c r="AI38" i="10" a="1"/>
  <c r="AI38" i="10"/>
  <c r="AG39" i="10"/>
  <c r="AG40" i="10"/>
  <c r="AG41" i="10"/>
  <c r="AG42" i="10"/>
  <c r="AG43" i="10"/>
  <c r="AF43" i="10"/>
  <c r="AI43" i="10" a="1"/>
  <c r="AI43" i="10"/>
  <c r="AG44" i="10"/>
  <c r="AG45" i="10"/>
  <c r="AG46" i="10"/>
  <c r="AG47" i="10"/>
  <c r="AG49" i="10"/>
  <c r="AG50" i="10"/>
  <c r="AG51" i="10"/>
  <c r="AG52" i="10"/>
  <c r="AG54" i="10"/>
  <c r="AF54" i="10"/>
  <c r="AI54" i="10" a="1"/>
  <c r="AI54" i="10"/>
  <c r="AG55" i="10"/>
  <c r="AG56" i="10"/>
  <c r="AG57" i="10"/>
  <c r="AG58" i="10"/>
  <c r="AG59" i="10"/>
  <c r="AG60" i="10"/>
  <c r="AG61" i="10"/>
  <c r="AG62" i="10"/>
  <c r="AG63" i="10"/>
  <c r="AG64" i="10"/>
  <c r="AG65" i="10"/>
  <c r="AG66" i="10"/>
  <c r="AG67" i="10"/>
  <c r="AG68" i="10"/>
  <c r="AG69" i="10"/>
  <c r="AG20" i="10"/>
  <c r="AF22" i="10"/>
  <c r="AF23" i="10"/>
  <c r="AF25" i="10"/>
  <c r="AI25" i="10" a="1"/>
  <c r="AI25" i="10"/>
  <c r="AF26" i="10"/>
  <c r="AF27" i="10"/>
  <c r="AF28" i="10"/>
  <c r="AF29" i="10"/>
  <c r="AF30" i="10"/>
  <c r="AF31" i="10"/>
  <c r="AF32" i="10"/>
  <c r="AF33" i="10"/>
  <c r="AF34" i="10"/>
  <c r="AF35" i="10"/>
  <c r="AF36" i="10"/>
  <c r="AF37" i="10"/>
  <c r="AF39" i="10"/>
  <c r="AF40" i="10"/>
  <c r="AF41" i="10"/>
  <c r="AI41" i="10" a="1"/>
  <c r="AI41" i="10"/>
  <c r="AF42" i="10"/>
  <c r="AF44" i="10"/>
  <c r="AF45" i="10"/>
  <c r="AF46" i="10"/>
  <c r="AF47" i="10"/>
  <c r="AF49" i="10"/>
  <c r="AF50" i="10"/>
  <c r="AF51" i="10"/>
  <c r="AF52" i="10"/>
  <c r="AF55" i="10"/>
  <c r="AI55" i="10" a="1"/>
  <c r="AI55" i="10"/>
  <c r="AF56" i="10"/>
  <c r="AF57" i="10"/>
  <c r="AI57" i="10" a="1"/>
  <c r="AI57" i="10"/>
  <c r="AF58" i="10"/>
  <c r="AF59" i="10"/>
  <c r="AF60" i="10"/>
  <c r="AF61" i="10"/>
  <c r="AF62" i="10"/>
  <c r="AF63" i="10"/>
  <c r="AF64" i="10"/>
  <c r="AF65" i="10"/>
  <c r="AF66" i="10"/>
  <c r="AF67" i="10"/>
  <c r="AF68" i="10"/>
  <c r="AF69" i="10"/>
  <c r="AB20" i="10" a="1"/>
  <c r="AB20" i="10"/>
  <c r="AF20" i="10"/>
  <c r="AI20" i="10" a="1"/>
  <c r="AI20" i="10"/>
  <c r="AI56" i="10" a="1"/>
  <c r="AI56" i="10"/>
  <c r="AI64" i="10" a="1"/>
  <c r="AI64" i="10"/>
  <c r="AB23" i="10" a="1"/>
  <c r="AB23" i="10"/>
  <c r="AB27" i="10" a="1"/>
  <c r="AB27" i="10" s="1"/>
  <c r="E378" i="40"/>
  <c r="AB31" i="10" a="1"/>
  <c r="AB31" i="10"/>
  <c r="AB35" i="10" a="1"/>
  <c r="AB35" i="10"/>
  <c r="AB39" i="10" a="1"/>
  <c r="AB39" i="10"/>
  <c r="AB43" i="10" a="1"/>
  <c r="AB43" i="10"/>
  <c r="E922" i="40"/>
  <c r="AB54" i="10" a="1"/>
  <c r="AB54" i="10"/>
  <c r="AB59" i="10" a="1"/>
  <c r="AB59" i="10"/>
  <c r="AB62" i="10" a="1"/>
  <c r="AB62" i="10"/>
  <c r="AB63" i="10" a="1"/>
  <c r="AB63" i="10"/>
  <c r="AB67" i="10" a="1"/>
  <c r="AB67" i="10"/>
  <c r="AB38" i="10" a="1"/>
  <c r="AB38" i="10"/>
  <c r="E297" i="40"/>
  <c r="E296" i="40"/>
  <c r="E295" i="40"/>
  <c r="E294" i="40"/>
  <c r="AI69" i="10" a="1"/>
  <c r="AI69" i="10"/>
  <c r="AI61" i="10" a="1"/>
  <c r="AI61" i="10"/>
  <c r="AI37" i="10" a="1"/>
  <c r="AI37" i="10"/>
  <c r="AI68" i="10" a="1"/>
  <c r="AI68" i="10"/>
  <c r="AI60" i="10" a="1"/>
  <c r="AI60" i="10"/>
  <c r="AI28" i="10" a="1"/>
  <c r="AI28" i="10"/>
  <c r="AI65" i="10" a="1"/>
  <c r="AI65" i="10"/>
  <c r="AB68" i="10" a="1"/>
  <c r="AB68" i="10"/>
  <c r="AB60" i="10" a="1"/>
  <c r="AB60" i="10"/>
  <c r="AB52" i="10" a="1"/>
  <c r="AB52" i="10"/>
  <c r="AB44" i="10" a="1"/>
  <c r="AB44" i="10"/>
  <c r="E840" i="40"/>
  <c r="AB36" i="10" a="1"/>
  <c r="AB36" i="10"/>
  <c r="AB28" i="10" a="1"/>
  <c r="AB28" i="10"/>
  <c r="AB57" i="10" a="1"/>
  <c r="AB57" i="10"/>
  <c r="AB41" i="10" a="1"/>
  <c r="AB41" i="10"/>
  <c r="AB64" i="10" a="1"/>
  <c r="AB64" i="10"/>
  <c r="AB56" i="10" a="1"/>
  <c r="AB56" i="10"/>
  <c r="AB40" i="10" a="1"/>
  <c r="AB40" i="10"/>
  <c r="AB32" i="10" a="1"/>
  <c r="AB32" i="10"/>
  <c r="E512" i="40"/>
  <c r="AB24" i="10" a="1"/>
  <c r="AB24" i="10"/>
  <c r="AB69" i="10" a="1"/>
  <c r="AB69" i="10"/>
  <c r="AB61" i="10" a="1"/>
  <c r="AB61" i="10"/>
  <c r="AB53" i="10" a="1"/>
  <c r="AB53" i="10"/>
  <c r="AI67" i="10" a="1"/>
  <c r="AI67" i="10"/>
  <c r="AI59" i="10" a="1"/>
  <c r="AI59" i="10"/>
  <c r="AB66" i="10" a="1"/>
  <c r="AB66" i="10"/>
  <c r="AB50" i="10" a="1"/>
  <c r="AB50" i="10"/>
  <c r="AB58" i="10" a="1"/>
  <c r="AB58" i="10"/>
  <c r="AB42" i="10" a="1"/>
  <c r="AB42" i="10"/>
  <c r="AB26" i="10" a="1"/>
  <c r="AB26" i="10"/>
  <c r="E350" i="40" s="1"/>
  <c r="AB65" i="10" a="1"/>
  <c r="AB65" i="10"/>
  <c r="AB49" i="10" a="1"/>
  <c r="AB49" i="10"/>
  <c r="AI63" i="10" a="1"/>
  <c r="AI63" i="10"/>
  <c r="AI62" i="10" a="1"/>
  <c r="AI62" i="10"/>
  <c r="AI46" i="10" a="1"/>
  <c r="AI46" i="10"/>
  <c r="AI30" i="10" a="1"/>
  <c r="AI30" i="10"/>
  <c r="AI66" i="10" a="1"/>
  <c r="AI66" i="10"/>
  <c r="AI58" i="10" a="1"/>
  <c r="AI58" i="10"/>
  <c r="AI50" i="10" a="1"/>
  <c r="AI50" i="10"/>
  <c r="AI42" i="10" a="1"/>
  <c r="AI42" i="10"/>
  <c r="AI26" i="10" a="1"/>
  <c r="AI26" i="10"/>
  <c r="E775" i="40"/>
  <c r="E830" i="40"/>
  <c r="E262" i="40"/>
  <c r="E776" i="40"/>
  <c r="E306" i="40"/>
  <c r="E305" i="40"/>
  <c r="E304" i="40"/>
  <c r="E696" i="40"/>
  <c r="E282" i="40"/>
  <c r="E96" i="40"/>
  <c r="E178" i="40"/>
  <c r="AK22" i="10"/>
  <c r="E228" i="40"/>
  <c r="AK23" i="10"/>
  <c r="E256" i="40"/>
  <c r="AK24" i="10"/>
  <c r="AK25" i="10"/>
  <c r="E336" i="40"/>
  <c r="AK26" i="10"/>
  <c r="AK27" i="10"/>
  <c r="E391" i="40"/>
  <c r="AK28" i="10"/>
  <c r="AK29" i="10"/>
  <c r="E445" i="40"/>
  <c r="AK30" i="10"/>
  <c r="E473" i="40"/>
  <c r="AK31" i="10"/>
  <c r="E501" i="40"/>
  <c r="AK32" i="10"/>
  <c r="E528" i="40"/>
  <c r="AK33" i="10"/>
  <c r="E556" i="40"/>
  <c r="AK34" i="10"/>
  <c r="AK35" i="10"/>
  <c r="E610" i="40"/>
  <c r="AK36" i="10"/>
  <c r="E634" i="40"/>
  <c r="AK37" i="10"/>
  <c r="AK38" i="10"/>
  <c r="AK39" i="10"/>
  <c r="E718" i="40"/>
  <c r="AK40" i="10"/>
  <c r="AK41" i="10"/>
  <c r="AK42" i="10"/>
  <c r="E796" i="40"/>
  <c r="AK43" i="10"/>
  <c r="AK44" i="10"/>
  <c r="E851" i="40"/>
  <c r="AK45" i="10"/>
  <c r="AK46" i="10"/>
  <c r="E906" i="40"/>
  <c r="AK47" i="10"/>
  <c r="E934" i="40"/>
  <c r="AK48" i="10"/>
  <c r="AK49" i="10"/>
  <c r="AK50" i="10"/>
  <c r="AK51" i="10"/>
  <c r="AK52" i="10"/>
  <c r="AK53" i="10"/>
  <c r="AK54" i="10"/>
  <c r="AK55" i="10"/>
  <c r="AK56" i="10"/>
  <c r="AK57" i="10"/>
  <c r="AK58" i="10"/>
  <c r="AK59" i="10"/>
  <c r="AK60" i="10"/>
  <c r="AK61" i="10"/>
  <c r="AK62" i="10"/>
  <c r="AK63" i="10"/>
  <c r="AK64" i="10"/>
  <c r="AK65" i="10"/>
  <c r="AK66" i="10"/>
  <c r="AK67" i="10"/>
  <c r="AK68" i="10"/>
  <c r="AK69" i="10"/>
  <c r="AK20" i="10"/>
  <c r="E313" i="40"/>
  <c r="E312" i="40"/>
  <c r="E311" i="40"/>
  <c r="E310" i="40"/>
  <c r="E309" i="40"/>
  <c r="E97" i="40"/>
  <c r="E95" i="40"/>
  <c r="E94" i="40"/>
  <c r="E93" i="40"/>
  <c r="E66" i="40"/>
  <c r="E69" i="40"/>
  <c r="E67" i="40"/>
  <c r="E70" i="40"/>
  <c r="E68" i="40"/>
  <c r="D7" i="21"/>
  <c r="AP22" i="10"/>
  <c r="AP23" i="10"/>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20" i="10"/>
  <c r="AN20" i="10"/>
  <c r="AN22" i="10"/>
  <c r="AN23" i="10"/>
  <c r="AN24" i="10"/>
  <c r="AN25" i="10"/>
  <c r="AN26" i="10"/>
  <c r="AN27" i="10"/>
  <c r="AN28" i="10"/>
  <c r="AN29" i="10"/>
  <c r="AN30" i="10"/>
  <c r="AN31" i="10"/>
  <c r="AN32" i="10"/>
  <c r="AN33" i="10"/>
  <c r="AN34" i="10"/>
  <c r="AN35" i="10"/>
  <c r="AN36" i="10"/>
  <c r="AN37" i="10"/>
  <c r="AN38" i="10"/>
  <c r="AN39" i="10"/>
  <c r="AN40" i="10"/>
  <c r="AN41" i="10"/>
  <c r="AN42" i="10"/>
  <c r="AN43" i="10"/>
  <c r="AN44" i="10"/>
  <c r="AN45" i="10"/>
  <c r="AN46" i="10"/>
  <c r="AN47" i="10"/>
  <c r="AN48" i="10"/>
  <c r="AN49" i="10"/>
  <c r="AN50" i="10"/>
  <c r="AN51" i="10"/>
  <c r="AN52" i="10"/>
  <c r="AN53" i="10"/>
  <c r="AN54" i="10"/>
  <c r="AN55" i="10"/>
  <c r="AN56" i="10"/>
  <c r="AN57" i="10"/>
  <c r="AN58" i="10"/>
  <c r="AN59" i="10"/>
  <c r="AN60" i="10"/>
  <c r="AN61" i="10"/>
  <c r="AN62" i="10"/>
  <c r="AN63" i="10"/>
  <c r="AN64" i="10"/>
  <c r="AN65" i="10"/>
  <c r="AN66" i="10"/>
  <c r="AN67" i="10"/>
  <c r="AN68" i="10"/>
  <c r="AN69" i="10"/>
  <c r="M51" i="22"/>
  <c r="F6" i="22"/>
  <c r="C8" i="25"/>
  <c r="C7" i="25"/>
  <c r="C6" i="25"/>
  <c r="C4" i="25"/>
  <c r="U72" i="10"/>
  <c r="J20" i="10"/>
  <c r="K20" i="10" s="1"/>
  <c r="F7" i="22"/>
  <c r="M30" i="22"/>
  <c r="F8" i="22"/>
  <c r="M45" i="22"/>
  <c r="F4" i="22"/>
  <c r="D3" i="21"/>
  <c r="N57" i="10"/>
  <c r="L42" i="10"/>
  <c r="O65" i="10"/>
  <c r="N66" i="10"/>
  <c r="E154" i="40"/>
  <c r="AI51" i="10" a="1"/>
  <c r="AI51" i="10"/>
  <c r="AI35" i="10" a="1"/>
  <c r="AI35" i="10"/>
  <c r="AI45" i="10" a="1"/>
  <c r="AI45" i="10"/>
  <c r="AI39" i="10" a="1"/>
  <c r="AI39" i="10"/>
  <c r="AB46" i="10" a="1"/>
  <c r="AB46" i="10"/>
  <c r="AB30" i="10" a="1"/>
  <c r="AB30" i="10"/>
  <c r="E41" i="40"/>
  <c r="AI40" i="10" a="1"/>
  <c r="AI40" i="10"/>
  <c r="AI52" i="10" a="1"/>
  <c r="AI52" i="10"/>
  <c r="AI44" i="10" a="1"/>
  <c r="AI44" i="10"/>
  <c r="AB45" i="10" a="1"/>
  <c r="AB45" i="10"/>
  <c r="AB29" i="10" a="1"/>
  <c r="AB29" i="10"/>
  <c r="H1009" i="40"/>
  <c r="H967" i="40"/>
  <c r="H532" i="40"/>
  <c r="H14" i="40"/>
  <c r="H217" i="40"/>
  <c r="H954" i="40"/>
  <c r="H675" i="40"/>
  <c r="H1023" i="40"/>
  <c r="H56" i="40"/>
  <c r="H229" i="40"/>
  <c r="H343" i="40"/>
  <c r="H3" i="40"/>
  <c r="H264" i="40"/>
  <c r="H797" i="40"/>
  <c r="H8" i="40"/>
  <c r="H573" i="40"/>
  <c r="H577" i="40"/>
  <c r="H397" i="40"/>
  <c r="H405" i="40"/>
  <c r="H647" i="40"/>
  <c r="H977" i="40"/>
  <c r="H380" i="40"/>
  <c r="H547" i="40"/>
  <c r="H386" i="40"/>
  <c r="H846" i="40"/>
  <c r="H960" i="40"/>
  <c r="H427" i="40"/>
  <c r="H736" i="40"/>
  <c r="H567" i="40"/>
  <c r="H579" i="40"/>
  <c r="H400" i="40"/>
  <c r="H383" i="40"/>
  <c r="H892" i="40"/>
  <c r="H453" i="40"/>
  <c r="H387" i="40"/>
  <c r="H593" i="40"/>
  <c r="H199" i="40"/>
  <c r="H1015" i="40"/>
  <c r="H546" i="40"/>
  <c r="H837" i="40"/>
  <c r="H990" i="40"/>
  <c r="H454" i="40"/>
  <c r="H499" i="40"/>
  <c r="H559" i="40"/>
  <c r="H561" i="40"/>
  <c r="H147" i="40"/>
  <c r="H135" i="40"/>
  <c r="H445" i="40"/>
  <c r="H437" i="40"/>
  <c r="H761" i="40"/>
  <c r="H398" i="40"/>
  <c r="H486" i="40"/>
  <c r="H434" i="40"/>
  <c r="H830" i="40"/>
  <c r="H911" i="40"/>
  <c r="H13" i="40"/>
  <c r="H885" i="40"/>
  <c r="H792" i="40"/>
  <c r="H377" i="40"/>
  <c r="H414" i="40"/>
  <c r="H255" i="40"/>
  <c r="H170" i="40"/>
  <c r="H41" i="40"/>
  <c r="H252" i="40"/>
  <c r="H136" i="40"/>
  <c r="H1019" i="40"/>
  <c r="H1050" i="40"/>
  <c r="H958" i="40"/>
  <c r="H799" i="40"/>
  <c r="H988" i="40"/>
  <c r="H890" i="40"/>
  <c r="H367" i="40"/>
  <c r="H286" i="40"/>
  <c r="H222" i="40"/>
  <c r="H84" i="40"/>
  <c r="M34" i="10"/>
  <c r="E560" i="40"/>
  <c r="K34" i="10"/>
  <c r="AB34" i="10" a="1"/>
  <c r="AB34" i="10"/>
  <c r="AI34" i="10" a="1"/>
  <c r="AI34" i="10"/>
  <c r="AI32" i="10" a="1"/>
  <c r="AI32" i="10"/>
  <c r="E180" i="40"/>
  <c r="AI22" i="10" a="1"/>
  <c r="AI22" i="10"/>
  <c r="AB22" i="10" a="1"/>
  <c r="AB22" i="10"/>
  <c r="E219" i="40"/>
  <c r="E367" i="40"/>
  <c r="E257" i="40"/>
  <c r="E147" i="40"/>
  <c r="E337" i="40"/>
  <c r="E338" i="40"/>
  <c r="E339" i="40"/>
  <c r="E340" i="40"/>
  <c r="E363" i="40"/>
  <c r="E283" i="40"/>
  <c r="E284" i="40"/>
  <c r="E285" i="40"/>
  <c r="E286" i="40"/>
  <c r="E931" i="40"/>
  <c r="E932" i="40"/>
  <c r="E933" i="40"/>
  <c r="E930" i="40"/>
  <c r="E852" i="40"/>
  <c r="E798" i="40"/>
  <c r="E849" i="40"/>
  <c r="E853" i="40"/>
  <c r="E904" i="40"/>
  <c r="E717" i="40"/>
  <c r="E795" i="40"/>
  <c r="E799" i="40"/>
  <c r="E850" i="40"/>
  <c r="E905" i="40"/>
  <c r="E553" i="40"/>
  <c r="E635" i="40"/>
  <c r="E448" i="40"/>
  <c r="E472" i="40"/>
  <c r="E500" i="40"/>
  <c r="E714" i="40"/>
  <c r="E148" i="40"/>
  <c r="E229" i="40"/>
  <c r="E230" i="40"/>
  <c r="E231" i="40"/>
  <c r="E232" i="40"/>
  <c r="E258" i="40"/>
  <c r="E364" i="40"/>
  <c r="E393" i="40"/>
  <c r="E526" i="40"/>
  <c r="E608" i="40"/>
  <c r="E716" i="40"/>
  <c r="E149" i="40"/>
  <c r="E554" i="40"/>
  <c r="E636" i="40"/>
  <c r="E447" i="40"/>
  <c r="E475" i="40"/>
  <c r="E499" i="40"/>
  <c r="E120" i="40"/>
  <c r="E150" i="40"/>
  <c r="E174" i="40"/>
  <c r="E255" i="40"/>
  <c r="E259" i="40"/>
  <c r="E365" i="40"/>
  <c r="E394" i="40"/>
  <c r="E527" i="40"/>
  <c r="E609" i="40"/>
  <c r="E444" i="40"/>
  <c r="E715" i="40"/>
  <c r="E121" i="40"/>
  <c r="E151" i="40"/>
  <c r="E555" i="40"/>
  <c r="E633" i="40"/>
  <c r="E637" i="40"/>
  <c r="E446" i="40"/>
  <c r="E474" i="40"/>
  <c r="E502" i="40"/>
  <c r="E122" i="40"/>
  <c r="E606" i="40"/>
  <c r="E471" i="40"/>
  <c r="E123" i="40"/>
  <c r="E175" i="40"/>
  <c r="E176" i="40"/>
  <c r="E177" i="40"/>
  <c r="E552" i="40"/>
  <c r="E124" i="40"/>
  <c r="E43" i="40"/>
  <c r="AI47" i="10" a="1"/>
  <c r="AI47" i="10"/>
  <c r="AI49" i="10" a="1"/>
  <c r="AI49" i="10"/>
  <c r="E921" i="40"/>
  <c r="E926" i="40"/>
  <c r="E927" i="40"/>
  <c r="E925" i="40"/>
  <c r="E916" i="40"/>
  <c r="E920" i="40"/>
  <c r="E928" i="40"/>
  <c r="E924" i="40"/>
  <c r="E917" i="40"/>
  <c r="E923" i="40"/>
  <c r="E918" i="40"/>
  <c r="E915" i="40"/>
  <c r="E919" i="40"/>
  <c r="E890" i="40"/>
  <c r="E891" i="40"/>
  <c r="E901" i="40"/>
  <c r="E893" i="40"/>
  <c r="E889" i="40"/>
  <c r="E894" i="40"/>
  <c r="E895" i="40"/>
  <c r="E892" i="40"/>
  <c r="E888" i="40"/>
  <c r="E896" i="40"/>
  <c r="E897" i="40"/>
  <c r="E898" i="40"/>
  <c r="E900" i="40"/>
  <c r="E899" i="40"/>
  <c r="E846" i="40"/>
  <c r="E845" i="40"/>
  <c r="E844" i="40"/>
  <c r="E835" i="40"/>
  <c r="E847" i="40"/>
  <c r="E836" i="40"/>
  <c r="E839" i="40"/>
  <c r="E837" i="40"/>
  <c r="E843" i="40"/>
  <c r="E842" i="40"/>
  <c r="E834" i="40"/>
  <c r="E838" i="40"/>
  <c r="E841" i="40"/>
  <c r="E701" i="40"/>
  <c r="E702" i="40"/>
  <c r="E712" i="40"/>
  <c r="E703" i="40"/>
  <c r="E699" i="40"/>
  <c r="E708" i="40"/>
  <c r="E707" i="40"/>
  <c r="E706" i="40"/>
  <c r="E705" i="40"/>
  <c r="E704" i="40"/>
  <c r="E700" i="40"/>
  <c r="E710" i="40"/>
  <c r="E711" i="40"/>
  <c r="E709" i="40"/>
  <c r="AI36" i="10" a="1"/>
  <c r="AI36" i="10"/>
  <c r="E630" i="40"/>
  <c r="AI33" i="10" a="1"/>
  <c r="AI33" i="10"/>
  <c r="E547" i="40"/>
  <c r="AI31" i="10" a="1"/>
  <c r="AI31" i="10"/>
  <c r="E494" i="40"/>
  <c r="E468" i="40"/>
  <c r="E467" i="40"/>
  <c r="E628" i="40"/>
  <c r="E625" i="40"/>
  <c r="E622" i="40"/>
  <c r="E618" i="40"/>
  <c r="E626" i="40"/>
  <c r="E624" i="40"/>
  <c r="E627" i="40"/>
  <c r="E621" i="40"/>
  <c r="E620" i="40"/>
  <c r="E631" i="40"/>
  <c r="E623" i="40"/>
  <c r="E619" i="40"/>
  <c r="E601" i="40"/>
  <c r="E603" i="40"/>
  <c r="E602" i="40"/>
  <c r="E593" i="40"/>
  <c r="E600" i="40"/>
  <c r="E604" i="40"/>
  <c r="E598" i="40"/>
  <c r="E591" i="40"/>
  <c r="E594" i="40"/>
  <c r="E596" i="40"/>
  <c r="E592" i="40"/>
  <c r="E595" i="40"/>
  <c r="E597" i="40"/>
  <c r="E599" i="40"/>
  <c r="E542" i="40"/>
  <c r="E538" i="40"/>
  <c r="E543" i="40"/>
  <c r="E546" i="40"/>
  <c r="E544" i="40"/>
  <c r="E541" i="40"/>
  <c r="E537" i="40"/>
  <c r="E540" i="40"/>
  <c r="E545" i="40"/>
  <c r="E539" i="40"/>
  <c r="E521" i="40"/>
  <c r="E520" i="40"/>
  <c r="E522" i="40"/>
  <c r="E513" i="40"/>
  <c r="E510" i="40"/>
  <c r="E514" i="40"/>
  <c r="E523" i="40"/>
  <c r="E511" i="40"/>
  <c r="E515" i="40"/>
  <c r="E516" i="40"/>
  <c r="E517" i="40"/>
  <c r="E518" i="40"/>
  <c r="E519" i="40"/>
  <c r="E486" i="40"/>
  <c r="E485" i="40"/>
  <c r="E483" i="40"/>
  <c r="E487" i="40"/>
  <c r="E484" i="40"/>
  <c r="E492" i="40"/>
  <c r="E491" i="40"/>
  <c r="E490" i="40"/>
  <c r="E489" i="40"/>
  <c r="E488" i="40"/>
  <c r="E459" i="40"/>
  <c r="E469" i="40"/>
  <c r="E460" i="40"/>
  <c r="E456" i="40"/>
  <c r="E465" i="40"/>
  <c r="E464" i="40"/>
  <c r="E463" i="40"/>
  <c r="E462" i="40"/>
  <c r="E461" i="40"/>
  <c r="E457" i="40"/>
  <c r="E458" i="40"/>
  <c r="E466" i="40"/>
  <c r="AI29" i="10" a="1"/>
  <c r="AI29" i="10"/>
  <c r="E441" i="40"/>
  <c r="E432" i="40"/>
  <c r="E431" i="40"/>
  <c r="E442" i="40"/>
  <c r="E433" i="40"/>
  <c r="E429" i="40"/>
  <c r="E438" i="40"/>
  <c r="E437" i="40"/>
  <c r="E436" i="40"/>
  <c r="E435" i="40"/>
  <c r="E434" i="40"/>
  <c r="E430" i="40"/>
  <c r="AI27" i="10" a="1"/>
  <c r="AI27" i="10"/>
  <c r="E387" i="40"/>
  <c r="E379" i="40"/>
  <c r="E380" i="40"/>
  <c r="E382" i="40"/>
  <c r="E384" i="40"/>
  <c r="E376" i="40"/>
  <c r="E381" i="40"/>
  <c r="E383" i="40"/>
  <c r="E377" i="40"/>
  <c r="E334" i="40"/>
  <c r="E333" i="40"/>
  <c r="E332" i="40"/>
  <c r="E331" i="40"/>
  <c r="E321" i="40"/>
  <c r="E322" i="40"/>
  <c r="E323" i="40"/>
  <c r="E324" i="40"/>
  <c r="E325" i="40"/>
  <c r="E326" i="40"/>
  <c r="E327" i="40"/>
  <c r="E328" i="40"/>
  <c r="E329" i="40"/>
  <c r="E330" i="40"/>
  <c r="E171" i="40"/>
  <c r="AI23" i="10" a="1"/>
  <c r="AI23" i="10"/>
  <c r="E253" i="40"/>
  <c r="E242" i="40"/>
  <c r="E248" i="40"/>
  <c r="E245" i="40"/>
  <c r="E249" i="40"/>
  <c r="E246" i="40"/>
  <c r="E241" i="40"/>
  <c r="E247" i="40"/>
  <c r="E244" i="40"/>
  <c r="E240" i="40"/>
  <c r="E243" i="40"/>
  <c r="E225" i="40"/>
  <c r="E224" i="40"/>
  <c r="E223" i="40"/>
  <c r="E222" i="40"/>
  <c r="E217" i="40"/>
  <c r="E216" i="40"/>
  <c r="E172" i="40"/>
  <c r="E168" i="40"/>
  <c r="E167" i="40"/>
  <c r="E166" i="40"/>
  <c r="E165" i="40"/>
  <c r="E164" i="40"/>
  <c r="E163" i="40"/>
  <c r="E162" i="40"/>
  <c r="E161" i="40"/>
  <c r="E160" i="40"/>
  <c r="E159" i="40"/>
  <c r="E169" i="40"/>
  <c r="E170" i="40"/>
  <c r="E83" i="40"/>
  <c r="E78" i="40"/>
  <c r="E86" i="40"/>
  <c r="E106" i="40"/>
  <c r="E82" i="40"/>
  <c r="E85" i="40"/>
  <c r="E116" i="40"/>
  <c r="E115" i="40"/>
  <c r="E117" i="40"/>
  <c r="E88" i="40"/>
  <c r="E90" i="40"/>
  <c r="E89" i="40"/>
  <c r="E81" i="40"/>
  <c r="E79" i="40"/>
  <c r="E80" i="40"/>
  <c r="E84" i="40"/>
  <c r="E87" i="40"/>
  <c r="E91" i="40"/>
  <c r="E63" i="40"/>
  <c r="E62" i="40"/>
  <c r="E61" i="40"/>
  <c r="E57" i="40"/>
  <c r="E56" i="40"/>
  <c r="E54" i="40"/>
  <c r="E60" i="40"/>
  <c r="E58" i="40"/>
  <c r="E59" i="40"/>
  <c r="E51" i="40"/>
  <c r="E53" i="40"/>
  <c r="E64" i="40"/>
  <c r="E52" i="40"/>
  <c r="E55" i="40"/>
  <c r="N41" i="10"/>
  <c r="N40" i="10"/>
  <c r="E723" i="40"/>
  <c r="L30" i="10"/>
  <c r="E451" i="40"/>
  <c r="E398" i="40"/>
  <c r="K23" i="10"/>
  <c r="E234" i="40"/>
  <c r="E1018" i="40"/>
  <c r="O47" i="10"/>
  <c r="E884" i="40"/>
  <c r="E882" i="40"/>
  <c r="N45" i="10"/>
  <c r="E858" i="40"/>
  <c r="L34" i="10"/>
  <c r="E559" i="40"/>
  <c r="N33" i="10"/>
  <c r="E534" i="40"/>
  <c r="E397" i="40"/>
  <c r="E182" i="40"/>
  <c r="L45" i="10"/>
  <c r="E856" i="40"/>
  <c r="N63" i="10"/>
  <c r="L44" i="10"/>
  <c r="E829" i="40"/>
  <c r="N37" i="10"/>
  <c r="K64" i="10"/>
  <c r="O44" i="10"/>
  <c r="E613" i="40"/>
  <c r="N61" i="10"/>
  <c r="E612" i="40"/>
  <c r="E453" i="40"/>
  <c r="N54" i="10"/>
  <c r="E720" i="40"/>
  <c r="N23" i="10"/>
  <c r="E237" i="40"/>
  <c r="O30" i="10"/>
  <c r="N53" i="10"/>
  <c r="N52" i="10"/>
  <c r="E1047" i="40"/>
  <c r="E372" i="40"/>
  <c r="E505" i="40"/>
  <c r="L61" i="10"/>
  <c r="E426" i="40"/>
  <c r="E504" i="40"/>
  <c r="E425" i="40"/>
  <c r="O34" i="10"/>
  <c r="E587" i="40"/>
  <c r="E910" i="40"/>
  <c r="L31" i="10"/>
  <c r="E478" i="40"/>
  <c r="N44" i="10"/>
  <c r="E831" i="40"/>
  <c r="M36" i="10"/>
  <c r="E614" i="40"/>
  <c r="E263" i="40"/>
  <c r="E236" i="40"/>
  <c r="E424" i="40"/>
  <c r="N50" i="10"/>
  <c r="E883" i="40"/>
  <c r="E777" i="40"/>
  <c r="E452" i="40"/>
  <c r="E506" i="40"/>
  <c r="K37" i="10"/>
  <c r="L41" i="10"/>
  <c r="M45" i="10"/>
  <c r="E857" i="40"/>
  <c r="M56" i="10"/>
  <c r="M61" i="10"/>
  <c r="K48" i="10"/>
  <c r="E586" i="40"/>
  <c r="E261" i="40"/>
  <c r="E100" i="40"/>
  <c r="L23" i="10"/>
  <c r="E235" i="40"/>
  <c r="E423" i="40"/>
  <c r="E507" i="40"/>
  <c r="L37" i="10"/>
  <c r="E640" i="40"/>
  <c r="M41" i="10"/>
  <c r="N56" i="10"/>
  <c r="E480" i="40"/>
  <c r="E911" i="40"/>
  <c r="K44" i="10"/>
  <c r="E828" i="40"/>
  <c r="E1020" i="40"/>
  <c r="E265" i="40"/>
  <c r="E371" i="40"/>
  <c r="O61" i="10"/>
  <c r="K57" i="10"/>
  <c r="O53" i="10"/>
  <c r="O45" i="10"/>
  <c r="O37" i="10"/>
  <c r="E531" i="40"/>
  <c r="E532" i="40"/>
  <c r="L48" i="10"/>
  <c r="E1019" i="40"/>
  <c r="L57" i="10"/>
  <c r="L64" i="10"/>
  <c r="K39" i="10"/>
  <c r="E693" i="40"/>
  <c r="E909" i="40"/>
  <c r="N26" i="10"/>
  <c r="E345" i="40"/>
  <c r="E101" i="40"/>
  <c r="E369" i="40"/>
  <c r="E344" i="40"/>
  <c r="E533" i="40"/>
  <c r="K42" i="10"/>
  <c r="E774" i="40"/>
  <c r="M48" i="10"/>
  <c r="K53" i="10"/>
  <c r="M57" i="10"/>
  <c r="M64" i="10"/>
  <c r="E695" i="40"/>
  <c r="E477" i="40"/>
  <c r="E694" i="40"/>
  <c r="L43" i="10"/>
  <c r="L26" i="10"/>
  <c r="E343" i="40"/>
  <c r="E585" i="40"/>
  <c r="E99" i="40"/>
  <c r="O64" i="10"/>
  <c r="O48" i="10"/>
  <c r="K22" i="10"/>
  <c r="E207" i="40"/>
  <c r="L53" i="10"/>
  <c r="E210" i="40"/>
  <c r="E208" i="40"/>
  <c r="L40" i="10"/>
  <c r="E721" i="40"/>
  <c r="M43" i="10"/>
  <c r="E479" i="40"/>
  <c r="N35" i="10"/>
  <c r="E588" i="40"/>
  <c r="E1017" i="40"/>
  <c r="K26" i="10"/>
  <c r="E342" i="40"/>
  <c r="M22" i="10"/>
  <c r="E209" i="40"/>
  <c r="E156" i="40"/>
  <c r="E153" i="40"/>
  <c r="E155" i="40"/>
  <c r="E127" i="40"/>
  <c r="E72" i="40"/>
  <c r="E558" i="40"/>
  <c r="E126" i="40"/>
  <c r="E939" i="40"/>
  <c r="E129" i="40"/>
  <c r="E1045" i="40"/>
  <c r="E1044" i="40"/>
  <c r="E48" i="40"/>
  <c r="E45" i="40"/>
  <c r="E47" i="40"/>
  <c r="E46" i="40"/>
  <c r="E548" i="40"/>
  <c r="E549" i="40"/>
  <c r="E550" i="40"/>
  <c r="E102" i="40"/>
  <c r="E74" i="40"/>
  <c r="E399" i="40"/>
  <c r="E75" i="40"/>
  <c r="E73" i="40"/>
  <c r="E218" i="40"/>
  <c r="E221" i="40"/>
  <c r="E220" i="40"/>
  <c r="E226" i="40"/>
  <c r="E213" i="40"/>
  <c r="E215" i="40"/>
  <c r="E214" i="40"/>
  <c r="E629" i="40"/>
  <c r="E493" i="40"/>
  <c r="E495" i="40"/>
  <c r="E496" i="40"/>
  <c r="E439" i="40"/>
  <c r="E440" i="40"/>
  <c r="E388" i="40"/>
  <c r="E385" i="40"/>
  <c r="E386" i="40"/>
  <c r="E252" i="40"/>
  <c r="E250" i="40"/>
  <c r="E251" i="40"/>
  <c r="E107" i="40"/>
  <c r="E114" i="40"/>
  <c r="E108" i="40"/>
  <c r="E118" i="40"/>
  <c r="E109" i="40"/>
  <c r="E111" i="40"/>
  <c r="E112" i="40"/>
  <c r="E105" i="40"/>
  <c r="E113" i="40"/>
  <c r="E110" i="40"/>
  <c r="E318" i="40"/>
  <c r="E316" i="40"/>
  <c r="E315" i="40"/>
  <c r="E317" i="40"/>
  <c r="H76" i="40" l="1"/>
  <c r="E778" i="40"/>
  <c r="H298" i="40"/>
  <c r="H810" i="40"/>
  <c r="E76" i="40"/>
  <c r="E859" i="40"/>
  <c r="E298" i="40"/>
  <c r="E300" i="40"/>
  <c r="E301" i="40"/>
  <c r="E299" i="40"/>
  <c r="E307" i="40"/>
  <c r="E302" i="40"/>
  <c r="E303" i="40"/>
  <c r="E1000" i="40"/>
  <c r="E1001" i="40"/>
  <c r="E1002" i="40"/>
  <c r="E1003" i="40"/>
  <c r="E1004" i="40"/>
  <c r="E1005" i="40"/>
  <c r="L20" i="10"/>
  <c r="K56" i="10"/>
  <c r="K65" i="10"/>
  <c r="L51" i="10"/>
  <c r="L38" i="10"/>
  <c r="K62" i="10"/>
  <c r="L65" i="10"/>
  <c r="N67" i="10"/>
  <c r="K47" i="10"/>
  <c r="L35" i="10"/>
  <c r="M20" i="10"/>
  <c r="N51" i="10"/>
  <c r="L56" i="10"/>
  <c r="K50" i="10"/>
  <c r="M63" i="10"/>
  <c r="O36" i="10"/>
  <c r="M51" i="10"/>
  <c r="M47" i="10"/>
  <c r="M50" i="10"/>
  <c r="O24" i="10"/>
  <c r="L63" i="10"/>
  <c r="K66" i="10"/>
  <c r="N46" i="10"/>
  <c r="K38" i="10"/>
  <c r="L33" i="10"/>
  <c r="O38" i="10"/>
  <c r="M35" i="10"/>
  <c r="M66" i="10"/>
  <c r="K51" i="10"/>
  <c r="K35" i="10"/>
  <c r="N42" i="10"/>
  <c r="L36" i="10"/>
  <c r="K46" i="10"/>
  <c r="O29" i="10"/>
  <c r="O27" i="10"/>
  <c r="M33" i="10"/>
  <c r="K36" i="10"/>
  <c r="L66" i="10"/>
  <c r="O55" i="10"/>
  <c r="K63" i="10"/>
  <c r="E973" i="40"/>
  <c r="E982" i="40"/>
  <c r="K25" i="10"/>
  <c r="N25" i="10"/>
  <c r="E966" i="40"/>
  <c r="E969" i="40"/>
  <c r="E970" i="40"/>
  <c r="E975" i="40"/>
  <c r="E976" i="40"/>
  <c r="E977" i="40"/>
  <c r="L25" i="10"/>
  <c r="E289" i="40" s="1"/>
  <c r="E978" i="40"/>
  <c r="E972" i="40"/>
  <c r="M25" i="10"/>
  <c r="E290" i="40" s="1"/>
  <c r="M53" i="22"/>
  <c r="H102" i="40"/>
  <c r="H1031" i="40"/>
  <c r="H195" i="40"/>
  <c r="H165" i="40"/>
  <c r="H1051" i="40"/>
  <c r="H162" i="40"/>
  <c r="H814" i="40"/>
  <c r="H927" i="40"/>
  <c r="H660" i="40"/>
  <c r="H412" i="40"/>
  <c r="H791" i="40"/>
  <c r="H1018" i="40"/>
  <c r="H984" i="40"/>
  <c r="H820" i="40"/>
  <c r="H99" i="40"/>
  <c r="H516" i="40"/>
  <c r="H666" i="40"/>
  <c r="H139" i="40"/>
  <c r="H619" i="40"/>
  <c r="H592" i="40"/>
  <c r="H771" i="40"/>
  <c r="H265" i="40"/>
  <c r="H340" i="40"/>
  <c r="H766" i="40"/>
  <c r="H196" i="40"/>
  <c r="H521" i="40"/>
  <c r="H424" i="40"/>
  <c r="H673" i="40"/>
  <c r="H80" i="40"/>
  <c r="H980" i="40"/>
  <c r="H813" i="40"/>
  <c r="H417" i="40"/>
  <c r="H693" i="40"/>
  <c r="H10" i="40"/>
  <c r="H720" i="40"/>
  <c r="H776" i="40"/>
  <c r="H361" i="40"/>
  <c r="H529" i="40"/>
  <c r="H917" i="40"/>
  <c r="H183" i="40"/>
  <c r="H234" i="40"/>
  <c r="H714" i="40"/>
  <c r="H564" i="40"/>
  <c r="H517" i="40"/>
  <c r="H653" i="40"/>
  <c r="H55" i="40"/>
  <c r="H944" i="40"/>
  <c r="H872" i="40"/>
  <c r="H282" i="40"/>
  <c r="H452" i="40"/>
  <c r="H870" i="40"/>
  <c r="H106" i="40"/>
  <c r="H491" i="40"/>
  <c r="H1052" i="40"/>
  <c r="H641" i="40"/>
  <c r="H474" i="40"/>
  <c r="H256" i="40"/>
  <c r="H157" i="40"/>
  <c r="H477" i="40"/>
  <c r="H142" i="40"/>
  <c r="H32" i="40"/>
  <c r="H20" i="40"/>
  <c r="H840" i="40"/>
  <c r="H836" i="40"/>
  <c r="H886" i="40"/>
  <c r="H1036" i="40"/>
  <c r="H230" i="40"/>
  <c r="H388" i="40"/>
  <c r="H770" i="40"/>
  <c r="H996" i="40"/>
  <c r="H541" i="40"/>
  <c r="H442" i="40"/>
  <c r="H975" i="40"/>
  <c r="H167" i="40"/>
  <c r="H197" i="40"/>
  <c r="H29" i="40"/>
  <c r="H729" i="40"/>
  <c r="H406" i="40"/>
  <c r="H780" i="40"/>
  <c r="H883" i="40"/>
  <c r="H607" i="40"/>
  <c r="H727" i="40"/>
  <c r="H826" i="40"/>
  <c r="H597" i="40"/>
  <c r="H465" i="40"/>
  <c r="H874" i="40"/>
  <c r="H288" i="40"/>
  <c r="H737" i="40"/>
  <c r="H1042" i="40"/>
  <c r="H631" i="40"/>
  <c r="H721" i="40"/>
  <c r="H1035" i="40"/>
  <c r="H159" i="40"/>
  <c r="H722" i="40"/>
  <c r="H83" i="40"/>
  <c r="H420" i="40"/>
  <c r="H262" i="40"/>
  <c r="H552" i="40"/>
  <c r="H604" i="40"/>
  <c r="H150" i="40"/>
  <c r="H1020" i="40"/>
  <c r="H48" i="40"/>
  <c r="H271" i="40"/>
  <c r="H754" i="40"/>
  <c r="H1029" i="40"/>
  <c r="H519" i="40"/>
  <c r="H52" i="40"/>
  <c r="H490" i="40"/>
  <c r="H33" i="40"/>
  <c r="H346" i="40"/>
  <c r="H144" i="40"/>
  <c r="H242" i="40"/>
  <c r="H451" i="40"/>
  <c r="H399" i="40"/>
  <c r="H303" i="40"/>
  <c r="H1067" i="40"/>
  <c r="H354" i="40"/>
  <c r="H897" i="40"/>
  <c r="H580" i="40"/>
  <c r="H957" i="40"/>
  <c r="H407" i="40"/>
  <c r="H236" i="40"/>
  <c r="H831" i="40"/>
  <c r="H533" i="40"/>
  <c r="H943" i="40"/>
  <c r="H316" i="40"/>
  <c r="H912" i="40"/>
  <c r="H812" i="40"/>
  <c r="H933" i="40"/>
  <c r="H919" i="40"/>
  <c r="H408" i="40"/>
  <c r="H963" i="40"/>
  <c r="H981" i="40"/>
  <c r="H392" i="40"/>
  <c r="H643" i="40"/>
  <c r="H676" i="40"/>
  <c r="H356" i="40"/>
  <c r="H500" i="40"/>
  <c r="H587" i="40"/>
  <c r="H961" i="40"/>
  <c r="H501" i="40"/>
  <c r="H267" i="40"/>
  <c r="H628" i="40"/>
  <c r="H815" i="40"/>
  <c r="H251" i="40"/>
  <c r="H174" i="40"/>
  <c r="H859" i="40"/>
  <c r="H1032" i="40"/>
  <c r="H457" i="40"/>
  <c r="H817" i="40"/>
  <c r="H510" i="40"/>
  <c r="H202" i="40"/>
  <c r="H351" i="40"/>
  <c r="H1062" i="40"/>
  <c r="H73" i="40"/>
  <c r="H964" i="40"/>
  <c r="H785" i="40"/>
  <c r="H307" i="40"/>
  <c r="H760" i="40"/>
  <c r="H363" i="40"/>
  <c r="H987" i="40"/>
  <c r="H7" i="40"/>
  <c r="H992" i="40"/>
  <c r="H695" i="40"/>
  <c r="H247" i="40"/>
  <c r="H899" i="40"/>
  <c r="H194" i="40"/>
  <c r="H630" i="40"/>
  <c r="H739" i="40"/>
  <c r="H305" i="40"/>
  <c r="H635" i="40"/>
  <c r="H724" i="40"/>
  <c r="H208" i="40"/>
  <c r="H309" i="40"/>
  <c r="H825" i="40"/>
  <c r="H49" i="40"/>
  <c r="H74" i="40"/>
  <c r="H862" i="40"/>
  <c r="H355" i="40"/>
  <c r="H901" i="40"/>
  <c r="H1025" i="40"/>
  <c r="H89" i="40"/>
  <c r="H178" i="40"/>
  <c r="H306" i="40"/>
  <c r="H1017" i="40"/>
  <c r="H898" i="40"/>
  <c r="H599" i="40"/>
  <c r="H394" i="40"/>
  <c r="H444" i="40"/>
  <c r="H750" i="40"/>
  <c r="H626" i="40"/>
  <c r="H600" i="40"/>
  <c r="H284" i="40"/>
  <c r="H450" i="40"/>
  <c r="H704" i="40"/>
  <c r="H906" i="40"/>
  <c r="H976" i="40"/>
  <c r="H1047" i="40"/>
  <c r="H101" i="40"/>
  <c r="H514" i="40"/>
  <c r="H645" i="40"/>
  <c r="H433" i="40"/>
  <c r="H425" i="40"/>
  <c r="H79" i="40"/>
  <c r="H775" i="40"/>
  <c r="H864" i="40"/>
  <c r="H528" i="40"/>
  <c r="H595" i="40"/>
  <c r="H1021" i="40"/>
  <c r="H621" i="40"/>
  <c r="H743" i="40"/>
  <c r="H774" i="40"/>
  <c r="H701" i="40"/>
  <c r="H175" i="40"/>
  <c r="H342" i="40"/>
  <c r="H553" i="40"/>
  <c r="H1054" i="40"/>
  <c r="H113" i="40"/>
  <c r="H796" i="40"/>
  <c r="H82" i="40"/>
  <c r="H461" i="40"/>
  <c r="H687" i="40"/>
  <c r="H66" i="40"/>
  <c r="H655" i="40"/>
  <c r="H22" i="40"/>
  <c r="H834" i="40"/>
  <c r="H1030" i="40"/>
  <c r="H120" i="40"/>
  <c r="H430" i="40"/>
  <c r="H1034" i="40"/>
  <c r="H931" i="40"/>
  <c r="H884" i="40"/>
  <c r="H706" i="40"/>
  <c r="H793" i="40"/>
  <c r="H777" i="40"/>
  <c r="H274" i="40"/>
  <c r="H507" i="40"/>
  <c r="H871" i="40"/>
  <c r="H789" i="40"/>
  <c r="H331" i="40"/>
  <c r="H1055" i="40"/>
  <c r="H781" i="40"/>
  <c r="H365" i="40"/>
  <c r="H225" i="40"/>
  <c r="H423" i="40"/>
  <c r="H163" i="40"/>
  <c r="H36" i="40"/>
  <c r="H895" i="40"/>
  <c r="H1069" i="40"/>
  <c r="H272" i="40"/>
  <c r="H969" i="40"/>
  <c r="H273" i="40"/>
  <c r="H732" i="40"/>
  <c r="H558" i="40"/>
  <c r="H88" i="40"/>
  <c r="H904" i="40"/>
  <c r="H221" i="40"/>
  <c r="H924" i="40"/>
  <c r="H690" i="40"/>
  <c r="H105" i="40"/>
  <c r="H731" i="40"/>
  <c r="H873" i="40"/>
  <c r="H216" i="40"/>
  <c r="H945" i="40"/>
  <c r="H440" i="40"/>
  <c r="H435" i="40"/>
  <c r="H1002" i="40"/>
  <c r="H72" i="40"/>
  <c r="H91" i="40"/>
  <c r="H1033" i="40"/>
  <c r="H538" i="40"/>
  <c r="H220" i="40"/>
  <c r="H1041" i="40"/>
  <c r="H37" i="40"/>
  <c r="H948" i="40"/>
  <c r="H663" i="40"/>
  <c r="H349" i="40"/>
  <c r="H181" i="40"/>
  <c r="H156" i="40"/>
  <c r="H928" i="40"/>
  <c r="H459" i="40"/>
  <c r="H360" i="40"/>
  <c r="H339" i="40"/>
  <c r="H325" i="40"/>
  <c r="H376" i="40"/>
  <c r="H1040" i="40"/>
  <c r="H623" i="40"/>
  <c r="H747" i="40"/>
  <c r="H122" i="40"/>
  <c r="H270" i="40"/>
  <c r="H778" i="40"/>
  <c r="H654" i="40"/>
  <c r="H384" i="40"/>
  <c r="H111" i="40"/>
  <c r="H795" i="40"/>
  <c r="H137" i="40"/>
  <c r="H738" i="40"/>
  <c r="H998" i="40"/>
  <c r="H431" i="40"/>
  <c r="H932" i="40"/>
  <c r="H38" i="40"/>
  <c r="H154" i="40"/>
  <c r="H130" i="40"/>
  <c r="H844" i="40"/>
  <c r="H237" i="40"/>
  <c r="H17" i="40"/>
  <c r="H172" i="40"/>
  <c r="H865" i="40"/>
  <c r="H940" i="40"/>
  <c r="H758" i="40"/>
  <c r="H261" i="40"/>
  <c r="H588" i="40"/>
  <c r="H910" i="40"/>
  <c r="H96" i="40"/>
  <c r="H556" i="40"/>
  <c r="H69" i="40"/>
  <c r="H926" i="40"/>
  <c r="H95" i="40"/>
  <c r="H505" i="40"/>
  <c r="H299" i="40"/>
  <c r="H735" i="40"/>
  <c r="H327" i="40"/>
  <c r="H410" i="40"/>
  <c r="H832" i="40"/>
  <c r="H186" i="40"/>
  <c r="H591" i="40"/>
  <c r="H283" i="40"/>
  <c r="H166" i="40"/>
  <c r="H371" i="40"/>
  <c r="H866" i="40"/>
  <c r="H512" i="40"/>
  <c r="H688" i="40"/>
  <c r="H594" i="40"/>
  <c r="H112" i="40"/>
  <c r="H971" i="40"/>
  <c r="H63" i="40"/>
  <c r="H788" i="40"/>
  <c r="H280" i="40"/>
  <c r="H997" i="40"/>
  <c r="H241" i="40"/>
  <c r="H609" i="40"/>
  <c r="H68" i="40"/>
  <c r="H456" i="40"/>
  <c r="H31" i="40"/>
  <c r="H858" i="40"/>
  <c r="H358" i="40"/>
  <c r="H203" i="40"/>
  <c r="H337" i="40"/>
  <c r="H554" i="40"/>
  <c r="H411" i="40"/>
  <c r="H705" i="40"/>
  <c r="H801" i="40"/>
  <c r="H108" i="40"/>
  <c r="H689" i="40"/>
  <c r="H94" i="40"/>
  <c r="H589" i="40"/>
  <c r="H322" i="40"/>
  <c r="H263" i="40"/>
  <c r="H978" i="40"/>
  <c r="H633" i="40"/>
  <c r="H330" i="40"/>
  <c r="H292" i="40"/>
  <c r="H1003" i="40"/>
  <c r="H249" i="40"/>
  <c r="H525" i="40"/>
  <c r="H118" i="40"/>
  <c r="H1061" i="40"/>
  <c r="H852" i="40"/>
  <c r="H205" i="40"/>
  <c r="H51" i="40"/>
  <c r="H128" i="40"/>
  <c r="H905" i="40"/>
  <c r="H753" i="40"/>
  <c r="H6" i="40"/>
  <c r="H824" i="40"/>
  <c r="H463" i="40"/>
  <c r="H683" i="40"/>
  <c r="H226" i="40"/>
  <c r="H922" i="40"/>
  <c r="H375" i="40"/>
  <c r="H258" i="40"/>
  <c r="H466" i="40"/>
  <c r="H277" i="40"/>
  <c r="H508" i="40"/>
  <c r="H323" i="40"/>
  <c r="H334" i="40"/>
  <c r="H511" i="40"/>
  <c r="H622" i="40"/>
  <c r="H828" i="40"/>
  <c r="H19" i="40"/>
  <c r="H219" i="40"/>
  <c r="H413" i="40"/>
  <c r="H224" i="40"/>
  <c r="H140" i="40"/>
  <c r="H439" i="40"/>
  <c r="H868" i="40"/>
  <c r="H253" i="40"/>
  <c r="H769" i="40"/>
  <c r="H515" i="40"/>
  <c r="H568" i="40"/>
  <c r="H506" i="40"/>
  <c r="H527" i="40"/>
  <c r="H596" i="40"/>
  <c r="H64" i="40"/>
  <c r="H481" i="40"/>
  <c r="H620" i="40"/>
  <c r="H603" i="40"/>
  <c r="H624" i="40"/>
  <c r="H991" i="40"/>
  <c r="H329" i="40"/>
  <c r="H798" i="40"/>
  <c r="H43" i="40"/>
  <c r="H478" i="40"/>
  <c r="H27" i="40"/>
  <c r="H404" i="40"/>
  <c r="H34" i="40"/>
  <c r="H126" i="40"/>
  <c r="H458" i="40"/>
  <c r="H718" i="40"/>
  <c r="H23" i="40"/>
  <c r="H763" i="40"/>
  <c r="H650" i="40"/>
  <c r="H180" i="40"/>
  <c r="H652" i="40"/>
  <c r="H889" i="40"/>
  <c r="H651" i="40"/>
  <c r="H110" i="40"/>
  <c r="H707" i="40"/>
  <c r="H87" i="40"/>
  <c r="H664" i="40"/>
  <c r="H60" i="40"/>
  <c r="H468" i="40"/>
  <c r="H959" i="40"/>
  <c r="H930" i="40"/>
  <c r="H336" i="40"/>
  <c r="H851" i="40"/>
  <c r="H238" i="40"/>
  <c r="H421" i="40"/>
  <c r="H657" i="40"/>
  <c r="H182" i="40"/>
  <c r="H315" i="40"/>
  <c r="H648" i="40"/>
  <c r="H545" i="40"/>
  <c r="H759" i="40"/>
  <c r="H915" i="40"/>
  <c r="H151" i="40"/>
  <c r="H942" i="40"/>
  <c r="H231" i="40"/>
  <c r="H888" i="40"/>
  <c r="H601" i="40"/>
  <c r="H1038" i="40"/>
  <c r="H275" i="40"/>
  <c r="H913" i="40"/>
  <c r="H602" i="40"/>
  <c r="H484" i="40"/>
  <c r="H155" i="40"/>
  <c r="H1000" i="40"/>
  <c r="H679" i="40"/>
  <c r="H534" i="40"/>
  <c r="H85" i="40"/>
  <c r="H582" i="40"/>
  <c r="H348" i="40"/>
  <c r="H192" i="40"/>
  <c r="H189" i="40"/>
  <c r="H204" i="40"/>
  <c r="H574" i="40"/>
  <c r="H678" i="40"/>
  <c r="H1006" i="40"/>
  <c r="H138" i="40"/>
  <c r="H1014" i="40"/>
  <c r="H616" i="40"/>
  <c r="H974" i="40"/>
  <c r="H246" i="40"/>
  <c r="H359" i="40"/>
  <c r="H642" i="40"/>
  <c r="H190" i="40"/>
  <c r="H160" i="40"/>
  <c r="H716" i="40"/>
  <c r="H161" i="40"/>
  <c r="H469" i="40"/>
  <c r="H823" i="40"/>
  <c r="H640" i="40"/>
  <c r="H24" i="40"/>
  <c r="H581" i="40"/>
  <c r="H372" i="40"/>
  <c r="H187" i="40"/>
  <c r="H742" i="40"/>
  <c r="H765" i="40"/>
  <c r="H1026" i="40"/>
  <c r="H396" i="40"/>
  <c r="H946" i="40"/>
  <c r="H141" i="40"/>
  <c r="H539" i="40"/>
  <c r="H171" i="40"/>
  <c r="H462" i="40"/>
  <c r="H542" i="40"/>
  <c r="H1044" i="40"/>
  <c r="H107" i="40"/>
  <c r="H35" i="40"/>
  <c r="H116" i="40"/>
  <c r="H489" i="40"/>
  <c r="H842" i="40"/>
  <c r="H485" i="40"/>
  <c r="H1057" i="40"/>
  <c r="H1008" i="40"/>
  <c r="H269" i="40"/>
  <c r="H575" i="40"/>
  <c r="H937" i="40"/>
  <c r="H402" i="40"/>
  <c r="H709" i="40"/>
  <c r="H700" i="40"/>
  <c r="H741" i="40"/>
  <c r="H522" i="40"/>
  <c r="H311" i="40"/>
  <c r="H745" i="40"/>
  <c r="H1024" i="40"/>
  <c r="H45" i="40"/>
  <c r="H1046" i="40"/>
  <c r="H448" i="40"/>
  <c r="H1060" i="40"/>
  <c r="H100" i="40"/>
  <c r="H1039" i="40"/>
  <c r="H296" i="40"/>
  <c r="H696" i="40"/>
  <c r="H9" i="40"/>
  <c r="H697" i="40"/>
  <c r="H479" i="40"/>
  <c r="H176" i="40"/>
  <c r="H853" i="40"/>
  <c r="H691" i="40"/>
  <c r="H649" i="40"/>
  <c r="H572" i="40"/>
  <c r="H757" i="40"/>
  <c r="H317" i="40"/>
  <c r="H441" i="40"/>
  <c r="H949" i="40"/>
  <c r="H634" i="40"/>
  <c r="H248" i="40"/>
  <c r="H863" i="40"/>
  <c r="H232" i="40"/>
  <c r="H1068" i="40"/>
  <c r="H658" i="40"/>
  <c r="H1045" i="40"/>
  <c r="H268" i="40"/>
  <c r="H855" i="40"/>
  <c r="H790" i="40"/>
  <c r="H708" i="40"/>
  <c r="H117" i="40"/>
  <c r="H734" i="40"/>
  <c r="H939" i="40"/>
  <c r="H369" i="40"/>
  <c r="H385" i="40"/>
  <c r="H756" i="40"/>
  <c r="H548" i="40"/>
  <c r="H571" i="40"/>
  <c r="H436" i="40"/>
  <c r="H893" i="40"/>
  <c r="H438" i="40"/>
  <c r="H606" i="40"/>
  <c r="H843" i="40"/>
  <c r="H382" i="40"/>
  <c r="H748" i="40"/>
  <c r="H535" i="40"/>
  <c r="H877" i="40"/>
  <c r="H951" i="40"/>
  <c r="H811" i="40"/>
  <c r="H549" i="40"/>
  <c r="H857" i="40"/>
  <c r="H168" i="40"/>
  <c r="H867" i="40"/>
  <c r="H297" i="40"/>
  <c r="H856" i="40"/>
  <c r="H550" i="40"/>
  <c r="H295" i="40"/>
  <c r="H301" i="40"/>
  <c r="H755" i="40"/>
  <c r="H294" i="40"/>
  <c r="H565" i="40"/>
  <c r="H555" i="40"/>
  <c r="H921" i="40"/>
  <c r="H918" i="40"/>
  <c r="H61" i="40"/>
  <c r="H925" i="40"/>
  <c r="H378" i="40"/>
  <c r="H768" i="40"/>
  <c r="H829" i="40"/>
  <c r="H560" i="40"/>
  <c r="H916" i="40"/>
  <c r="H822" i="40"/>
  <c r="H328" i="40"/>
  <c r="H802" i="40"/>
  <c r="H1001" i="40"/>
  <c r="H668" i="40"/>
  <c r="H662" i="40"/>
  <c r="H418" i="40"/>
  <c r="H894" i="40"/>
  <c r="H4" i="40"/>
  <c r="H244" i="40"/>
  <c r="H1065" i="40"/>
  <c r="H75" i="40"/>
  <c r="H670" i="40"/>
  <c r="H353" i="40"/>
  <c r="H350" i="40"/>
  <c r="H460" i="40"/>
  <c r="H920" i="40"/>
  <c r="H674" i="40"/>
  <c r="H1005" i="40"/>
  <c r="H409" i="40"/>
  <c r="H319" i="40"/>
  <c r="H751" i="40"/>
  <c r="H504" i="40"/>
  <c r="H786" i="40"/>
  <c r="H235" i="40"/>
  <c r="H191" i="40"/>
  <c r="H618" i="40"/>
  <c r="H447" i="40"/>
  <c r="H850" i="40"/>
  <c r="E346" i="40"/>
  <c r="E832" i="40"/>
  <c r="E670" i="40"/>
  <c r="E805" i="40"/>
  <c r="E481" i="40"/>
  <c r="E130" i="40"/>
  <c r="E427" i="40"/>
  <c r="E562" i="40"/>
  <c r="E751" i="40"/>
  <c r="E373" i="40"/>
  <c r="E1021" i="40"/>
  <c r="E184" i="40"/>
  <c r="E454" i="40"/>
  <c r="E1048" i="40"/>
  <c r="E724" i="40"/>
  <c r="E157" i="40"/>
  <c r="E400" i="40"/>
  <c r="E913" i="40"/>
  <c r="E697" i="40"/>
  <c r="H243" i="40"/>
  <c r="H16" i="40"/>
  <c r="H415" i="40"/>
  <c r="H891" i="40"/>
  <c r="H184" i="40"/>
  <c r="H1056" i="40"/>
  <c r="E940" i="40"/>
  <c r="E967" i="40"/>
  <c r="H900" i="40"/>
  <c r="H680" i="40"/>
  <c r="H90" i="40"/>
  <c r="H169" i="40"/>
  <c r="H880" i="40"/>
  <c r="H25" i="40"/>
  <c r="H310" i="40"/>
  <c r="H214" i="40"/>
  <c r="H667" i="40"/>
  <c r="H495" i="40"/>
  <c r="H955" i="40"/>
  <c r="H625" i="40"/>
  <c r="H304" i="40"/>
  <c r="H198" i="40"/>
  <c r="H518" i="40"/>
  <c r="H627" i="40"/>
  <c r="H148" i="40"/>
  <c r="H467" i="40"/>
  <c r="H973" i="40"/>
  <c r="H896" i="40"/>
  <c r="H562" i="40"/>
  <c r="H608" i="40"/>
  <c r="H615" i="40"/>
  <c r="H1059" i="40"/>
  <c r="H839" i="40"/>
  <c r="H250" i="40"/>
  <c r="H1053" i="40"/>
  <c r="H523" i="40"/>
  <c r="H188" i="40"/>
  <c r="H345" i="40"/>
  <c r="H209" i="40"/>
  <c r="H279" i="40"/>
  <c r="H1063" i="40"/>
  <c r="H661" i="40"/>
  <c r="H210" i="40"/>
  <c r="H934" i="40"/>
  <c r="H540" i="40"/>
  <c r="H835" i="40"/>
  <c r="L55" i="10"/>
  <c r="K67" i="10"/>
  <c r="O46" i="10"/>
  <c r="O20" i="10"/>
  <c r="E49" i="40" s="1"/>
  <c r="K31" i="10"/>
  <c r="N32" i="10"/>
  <c r="K55" i="10"/>
  <c r="M46" i="10"/>
  <c r="M27" i="10"/>
  <c r="E938" i="40" s="1"/>
  <c r="N69" i="10"/>
  <c r="M69" i="10"/>
  <c r="K59" i="10"/>
  <c r="M55" i="10"/>
  <c r="L54" i="10"/>
  <c r="O23" i="10"/>
  <c r="O22" i="10"/>
  <c r="M31" i="10"/>
  <c r="O60" i="10"/>
  <c r="K60" i="10"/>
  <c r="M67" i="10"/>
  <c r="M59" i="10"/>
  <c r="K27" i="10"/>
  <c r="E936" i="40" s="1"/>
  <c r="N31" i="10"/>
  <c r="L60" i="10"/>
  <c r="N20" i="10"/>
  <c r="M60" i="10"/>
  <c r="C5" i="25"/>
  <c r="F5" i="22"/>
  <c r="E319" i="40"/>
  <c r="E508" i="40"/>
  <c r="E211" i="40"/>
  <c r="E535" i="40"/>
  <c r="H869" i="40"/>
  <c r="H787" i="40"/>
  <c r="H947" i="40"/>
  <c r="E238" i="40"/>
  <c r="H531" i="40"/>
  <c r="H733" i="40"/>
  <c r="H366" i="40"/>
  <c r="H488" i="40"/>
  <c r="H537" i="40"/>
  <c r="H699" i="40"/>
  <c r="H67" i="40"/>
  <c r="H672" i="40"/>
  <c r="H164" i="40"/>
  <c r="H882" i="40"/>
  <c r="H1012" i="40"/>
  <c r="H861" i="40"/>
  <c r="H62" i="40"/>
  <c r="H81" i="40"/>
  <c r="H972" i="40"/>
  <c r="H149" i="40"/>
  <c r="H228" i="40"/>
  <c r="H426" i="40"/>
  <c r="H492" i="40"/>
  <c r="H127" i="40"/>
  <c r="H86" i="40"/>
  <c r="H472" i="40"/>
  <c r="H1004" i="40"/>
  <c r="H201" i="40"/>
  <c r="H953" i="40"/>
  <c r="H970" i="40"/>
  <c r="H483" i="40"/>
  <c r="H677" i="40"/>
  <c r="H114" i="40"/>
  <c r="H950" i="40"/>
  <c r="H613" i="40"/>
  <c r="H804" i="40"/>
  <c r="H318" i="40"/>
  <c r="H610" i="40"/>
  <c r="H1013" i="40"/>
  <c r="H39" i="40"/>
  <c r="H53" i="40"/>
  <c r="H218" i="40"/>
  <c r="H952" i="40"/>
  <c r="H764" i="40"/>
  <c r="H982" i="40"/>
  <c r="H285" i="40"/>
  <c r="H669" i="40"/>
  <c r="H614" i="40"/>
  <c r="H177" i="40"/>
  <c r="H11" i="40"/>
  <c r="H419" i="40"/>
  <c r="H1048" i="40"/>
  <c r="H26" i="40"/>
  <c r="H471" i="40"/>
  <c r="H97" i="40"/>
  <c r="H1007" i="40"/>
  <c r="H211" i="40"/>
  <c r="H487" i="40"/>
  <c r="H526" i="40"/>
  <c r="H583" i="40"/>
  <c r="H93" i="40"/>
  <c r="H121" i="40"/>
  <c r="H432" i="40"/>
  <c r="H819" i="40"/>
  <c r="H207" i="40"/>
  <c r="H373" i="40"/>
  <c r="H324" i="40"/>
  <c r="H129" i="40"/>
  <c r="H78" i="40"/>
  <c r="H464" i="40"/>
  <c r="H994" i="40"/>
  <c r="H21" i="40"/>
  <c r="H58" i="40"/>
  <c r="H711" i="40"/>
  <c r="H694" i="40"/>
  <c r="H143" i="40"/>
  <c r="H381" i="40"/>
  <c r="H429" i="40"/>
  <c r="H715" i="40"/>
  <c r="H576" i="40"/>
  <c r="H302" i="40"/>
  <c r="H332" i="40"/>
  <c r="H782" i="40"/>
  <c r="H749" i="40"/>
  <c r="H656" i="40"/>
  <c r="H845" i="40"/>
  <c r="H338" i="40"/>
  <c r="H496" i="40"/>
  <c r="H291" i="40"/>
  <c r="H966" i="40"/>
  <c r="H543" i="40"/>
  <c r="H878" i="40"/>
  <c r="H783" i="40"/>
  <c r="H213" i="40"/>
  <c r="H682" i="40"/>
  <c r="H999" i="40"/>
  <c r="H979" i="40"/>
  <c r="H544" i="40"/>
  <c r="H403" i="40"/>
  <c r="H1027" i="40"/>
  <c r="H585" i="40"/>
  <c r="H841" i="40"/>
  <c r="H134" i="40"/>
  <c r="H639" i="40"/>
  <c r="H193" i="40"/>
  <c r="H965" i="40"/>
  <c r="H153" i="40"/>
  <c r="H569" i="40"/>
  <c r="H259" i="40"/>
  <c r="H59" i="40"/>
  <c r="H475" i="40"/>
  <c r="H809" i="40"/>
  <c r="H300" i="40"/>
  <c r="H57" i="40"/>
  <c r="H370" i="40"/>
  <c r="H28" i="40"/>
  <c r="H18" i="40"/>
  <c r="H710" i="40"/>
  <c r="H498" i="40"/>
  <c r="H278" i="40"/>
  <c r="H245" i="40"/>
  <c r="H728" i="40"/>
  <c r="H703" i="40"/>
  <c r="H133" i="40"/>
  <c r="H115" i="40"/>
  <c r="H473" i="40"/>
  <c r="H1011" i="40"/>
  <c r="H570" i="40"/>
  <c r="H637" i="40"/>
  <c r="H513" i="40"/>
  <c r="H923" i="40"/>
  <c r="H684" i="40"/>
  <c r="H46" i="40"/>
  <c r="H993" i="40"/>
  <c r="E616" i="40"/>
  <c r="E886" i="40"/>
  <c r="H30" i="40"/>
  <c r="H70" i="40"/>
  <c r="H123" i="40"/>
  <c r="H803" i="40"/>
  <c r="H352" i="40"/>
  <c r="H586" i="40"/>
  <c r="H132" i="40"/>
  <c r="H494" i="40"/>
  <c r="H726" i="40"/>
  <c r="H903" i="40"/>
  <c r="H493" i="40"/>
  <c r="H986" i="40"/>
  <c r="H818" i="40"/>
  <c r="H936" i="40"/>
  <c r="H276" i="40"/>
  <c r="H54" i="40"/>
  <c r="H762" i="40"/>
  <c r="H730" i="40"/>
  <c r="H312" i="40"/>
  <c r="H685" i="40"/>
  <c r="H391" i="40"/>
  <c r="H838" i="40"/>
  <c r="H702" i="40"/>
  <c r="H598" i="40"/>
  <c r="H47" i="40"/>
  <c r="H807" i="40"/>
  <c r="H257" i="40"/>
  <c r="H849" i="40"/>
  <c r="H879" i="40"/>
  <c r="H520" i="40"/>
  <c r="H15" i="40"/>
  <c r="H1066" i="40"/>
  <c r="H313" i="40"/>
  <c r="H364" i="40"/>
  <c r="H907" i="40"/>
  <c r="H784" i="40"/>
  <c r="H566" i="40"/>
  <c r="E103" i="40"/>
  <c r="E292" i="40"/>
  <c r="H808" i="40"/>
  <c r="H5" i="40"/>
  <c r="H223" i="40"/>
  <c r="H240" i="40"/>
  <c r="H772" i="40"/>
  <c r="H985" i="40"/>
  <c r="H390" i="40"/>
  <c r="H103" i="40"/>
  <c r="H744" i="40"/>
  <c r="H502" i="40"/>
  <c r="H344" i="40"/>
  <c r="H717" i="40"/>
  <c r="H909" i="40"/>
  <c r="H321" i="40"/>
  <c r="H876" i="40"/>
  <c r="H847" i="40"/>
  <c r="H109" i="40"/>
  <c r="H290" i="40"/>
  <c r="H805" i="40"/>
  <c r="H712" i="40"/>
  <c r="H612" i="40"/>
  <c r="H681" i="40"/>
  <c r="H326" i="40"/>
  <c r="H938" i="40"/>
  <c r="H333" i="40"/>
  <c r="H480" i="40"/>
  <c r="H379" i="40"/>
  <c r="H124" i="40"/>
  <c r="H816" i="40"/>
  <c r="H446" i="40"/>
  <c r="H289" i="40"/>
  <c r="H1028" i="40"/>
  <c r="H357" i="40"/>
  <c r="H646" i="40"/>
  <c r="H145" i="40"/>
  <c r="H1058" i="40"/>
  <c r="H629" i="40"/>
  <c r="H215" i="40"/>
  <c r="H393" i="40"/>
  <c r="H636" i="40"/>
  <c r="H12" i="40"/>
  <c r="E589" i="40"/>
  <c r="M24" i="10"/>
  <c r="E641" i="40" s="1"/>
  <c r="L24" i="10"/>
  <c r="L29" i="10"/>
  <c r="E951" i="40"/>
  <c r="E943" i="40"/>
  <c r="E950" i="40"/>
  <c r="E942" i="40"/>
  <c r="E949" i="40"/>
  <c r="E948" i="40"/>
  <c r="E955" i="40"/>
  <c r="E947" i="40"/>
  <c r="E946" i="40"/>
  <c r="E945" i="40"/>
  <c r="E944" i="40"/>
  <c r="L27" i="10"/>
  <c r="E937" i="40" s="1"/>
  <c r="E356" i="40"/>
  <c r="E361" i="40"/>
  <c r="E354" i="40"/>
  <c r="E348" i="40"/>
  <c r="E353" i="40"/>
  <c r="E349" i="40"/>
  <c r="E357" i="40"/>
  <c r="E273" i="40"/>
  <c r="E268" i="40"/>
  <c r="E280" i="40"/>
  <c r="E275" i="40"/>
  <c r="E270" i="40"/>
  <c r="E272" i="40"/>
  <c r="E267" i="40"/>
  <c r="E274" i="40"/>
  <c r="E269" i="40"/>
  <c r="E271" i="40"/>
  <c r="E276" i="40"/>
  <c r="L69" i="10"/>
  <c r="K69" i="10"/>
  <c r="L68" i="10"/>
  <c r="M28" i="10"/>
  <c r="N58" i="10"/>
  <c r="M54" i="10"/>
  <c r="O49" i="10"/>
  <c r="L49" i="10"/>
  <c r="N28" i="10"/>
  <c r="E993" i="40" s="1"/>
  <c r="N24" i="10"/>
  <c r="E642" i="40" s="1"/>
  <c r="O50" i="10"/>
  <c r="O41" i="10"/>
  <c r="M62" i="10"/>
  <c r="O59" i="10"/>
  <c r="M40" i="10"/>
  <c r="K30" i="10"/>
  <c r="O58" i="10"/>
  <c r="M49" i="10"/>
  <c r="M58" i="10"/>
  <c r="L67" i="10"/>
  <c r="O68" i="10"/>
  <c r="O39" i="10"/>
  <c r="M29" i="10"/>
  <c r="K40" i="10"/>
  <c r="N38" i="10"/>
  <c r="N22" i="10"/>
  <c r="K58" i="10"/>
  <c r="L59" i="10"/>
  <c r="K29" i="10"/>
  <c r="K32" i="10"/>
  <c r="K68" i="10"/>
  <c r="L39" i="10"/>
  <c r="M32" i="10"/>
  <c r="N30" i="10"/>
  <c r="L62" i="10"/>
  <c r="N43" i="10"/>
  <c r="K52" i="10"/>
  <c r="O62" i="10"/>
  <c r="K43" i="10"/>
  <c r="L52" i="10"/>
  <c r="K49" i="10"/>
  <c r="L28" i="10"/>
  <c r="O52" i="10"/>
  <c r="O28" i="10"/>
  <c r="E264" i="40" l="1"/>
  <c r="E291" i="40"/>
  <c r="E990" i="40"/>
  <c r="E288" i="40"/>
  <c r="E964" i="40"/>
  <c r="E965" i="40"/>
  <c r="K72" i="10"/>
  <c r="E963" i="40"/>
  <c r="O72" i="10"/>
  <c r="E994" i="40"/>
  <c r="M72" i="10"/>
  <c r="E992" i="40"/>
  <c r="L72" i="10"/>
  <c r="E991" i="40"/>
  <c r="N72" i="10"/>
  <c r="D592" i="40"/>
  <c r="D923" i="40"/>
  <c r="D1024" i="40"/>
  <c r="D325" i="40"/>
  <c r="D178" i="40"/>
  <c r="D464" i="40"/>
  <c r="D745" i="40"/>
  <c r="D150" i="40"/>
  <c r="D4" i="40"/>
  <c r="D242" i="40"/>
  <c r="D386" i="40"/>
  <c r="D371" i="40"/>
  <c r="D367" i="40"/>
  <c r="D207" i="40"/>
  <c r="D846" i="40"/>
  <c r="D279" i="40"/>
  <c r="D753" i="40"/>
  <c r="D957" i="40"/>
  <c r="D424" i="40"/>
  <c r="D616" i="40"/>
  <c r="D78" i="40"/>
  <c r="D301" i="40"/>
  <c r="D213" i="40"/>
  <c r="D873" i="40"/>
  <c r="D991" i="40"/>
  <c r="D490" i="40"/>
  <c r="D681" i="40"/>
  <c r="D932" i="40"/>
  <c r="D538" i="40"/>
  <c r="D169" i="40"/>
  <c r="D1063" i="40"/>
  <c r="D707" i="40"/>
  <c r="D409" i="40"/>
  <c r="D276" i="40"/>
  <c r="D194" i="40"/>
  <c r="D676" i="40"/>
  <c r="D357" i="40"/>
  <c r="D937" i="40"/>
  <c r="D361" i="40"/>
  <c r="D912" i="40"/>
  <c r="D58" i="40"/>
  <c r="D27" i="40"/>
  <c r="D768" i="40"/>
  <c r="D852" i="40"/>
  <c r="D697" i="40"/>
  <c r="D987" i="40"/>
  <c r="D10" i="40"/>
  <c r="D1061" i="40"/>
  <c r="D315" i="40"/>
  <c r="D964" i="40"/>
  <c r="D977" i="40"/>
  <c r="D211" i="40"/>
  <c r="D330" i="40"/>
  <c r="D504" i="40"/>
  <c r="D410" i="40"/>
  <c r="D835" i="40"/>
  <c r="D859" i="40"/>
  <c r="D511" i="40"/>
  <c r="D1008" i="40"/>
  <c r="D1062" i="40"/>
  <c r="D154" i="40"/>
  <c r="D321" i="40"/>
  <c r="D599" i="40"/>
  <c r="D1015" i="40"/>
  <c r="D899" i="40"/>
  <c r="D236" i="40"/>
  <c r="D262" i="40"/>
  <c r="D456" i="40"/>
  <c r="D960" i="40"/>
  <c r="D216" i="40"/>
  <c r="D985" i="40"/>
  <c r="D337" i="40"/>
  <c r="D448" i="40"/>
  <c r="D105" i="40"/>
  <c r="D226" i="40"/>
  <c r="D572" i="40"/>
  <c r="D1068" i="40"/>
  <c r="D189" i="40"/>
  <c r="D822" i="40"/>
  <c r="D1040" i="40"/>
  <c r="D625" i="40"/>
  <c r="D107" i="40"/>
  <c r="D384" i="40"/>
  <c r="D736" i="40"/>
  <c r="D857" i="40"/>
  <c r="D918" i="40"/>
  <c r="D282" i="40"/>
  <c r="D654" i="40"/>
  <c r="D667" i="40"/>
  <c r="D826" i="40"/>
  <c r="D208" i="40"/>
  <c r="D732" i="40"/>
  <c r="D91" i="40"/>
  <c r="D872" i="40"/>
  <c r="D830" i="40"/>
  <c r="D355" i="40"/>
  <c r="D844" i="40"/>
  <c r="D544" i="40"/>
  <c r="D326" i="40"/>
  <c r="D156" i="40"/>
  <c r="D696" i="40"/>
  <c r="D1042" i="40"/>
  <c r="D622" i="40"/>
  <c r="D684" i="40"/>
  <c r="D841" i="40"/>
  <c r="D777" i="40"/>
  <c r="D739" i="40"/>
  <c r="D433" i="40"/>
  <c r="D268" i="40"/>
  <c r="D34" i="40"/>
  <c r="D204" i="40"/>
  <c r="D933" i="40"/>
  <c r="D922" i="40"/>
  <c r="D60" i="40"/>
  <c r="D529" i="40"/>
  <c r="D334" i="40"/>
  <c r="D706" i="40"/>
  <c r="D116" i="40"/>
  <c r="D660" i="40"/>
  <c r="D759" i="40"/>
  <c r="D304" i="40"/>
  <c r="D1058" i="40"/>
  <c r="D720" i="40"/>
  <c r="D583" i="40"/>
  <c r="D485" i="40"/>
  <c r="D919" i="40"/>
  <c r="D743" i="40"/>
  <c r="D259" i="40"/>
  <c r="D623" i="40"/>
  <c r="D198" i="40"/>
  <c r="D610" i="40"/>
  <c r="D693" i="40"/>
  <c r="D351" i="40"/>
  <c r="D652" i="40"/>
  <c r="D230" i="40"/>
  <c r="D111" i="40"/>
  <c r="D16" i="40"/>
  <c r="D106" i="40"/>
  <c r="D585" i="40"/>
  <c r="D528" i="40"/>
  <c r="D770" i="40"/>
  <c r="D251" i="40"/>
  <c r="D400" i="40"/>
  <c r="D888" i="40"/>
  <c r="D727" i="40"/>
  <c r="D934" i="40"/>
  <c r="D712" i="40"/>
  <c r="D738" i="40"/>
  <c r="D186" i="40"/>
  <c r="D463" i="40"/>
  <c r="D82" i="40"/>
  <c r="D900" i="40"/>
  <c r="D475" i="40"/>
  <c r="D771" i="40"/>
  <c r="D1047" i="40"/>
  <c r="D969" i="40"/>
  <c r="D814" i="40"/>
  <c r="D950" i="40"/>
  <c r="D737" i="40"/>
  <c r="D561" i="40"/>
  <c r="D255" i="40"/>
  <c r="D135" i="40"/>
  <c r="D993" i="40"/>
  <c r="D519" i="40"/>
  <c r="D378" i="40"/>
  <c r="D901" i="40"/>
  <c r="D445" i="40"/>
  <c r="D426" i="40"/>
  <c r="D159" i="40"/>
  <c r="D129" i="40"/>
  <c r="D182" i="40"/>
  <c r="D1057" i="40"/>
  <c r="D687" i="40"/>
  <c r="D809" i="40"/>
  <c r="D450" i="40"/>
  <c r="D850" i="40"/>
  <c r="D520" i="40"/>
  <c r="D836" i="40"/>
  <c r="D366" i="40"/>
  <c r="D480" i="40"/>
  <c r="D141" i="40"/>
  <c r="D741" i="40"/>
  <c r="D518" i="40"/>
  <c r="D407" i="40"/>
  <c r="D582" i="40"/>
  <c r="D492" i="40"/>
  <c r="D885" i="40"/>
  <c r="D613" i="40"/>
  <c r="D385" i="40"/>
  <c r="D856" i="40"/>
  <c r="D635" i="40"/>
  <c r="D947" i="40"/>
  <c r="D804" i="40"/>
  <c r="D906" i="40"/>
  <c r="D672" i="40"/>
  <c r="D971" i="40"/>
  <c r="D765" i="40"/>
  <c r="D451" i="40"/>
  <c r="D716" i="40"/>
  <c r="D569" i="40"/>
  <c r="D344" i="40"/>
  <c r="D88" i="40"/>
  <c r="D944" i="40"/>
  <c r="D462" i="40"/>
  <c r="D83" i="40"/>
  <c r="D393" i="40"/>
  <c r="D847" i="40"/>
  <c r="D606" i="40"/>
  <c r="D354" i="40"/>
  <c r="D411" i="40"/>
  <c r="D12" i="40"/>
  <c r="D1032" i="40"/>
  <c r="D729" i="40"/>
  <c r="D651" i="40"/>
  <c r="D715" i="40"/>
  <c r="D533" i="40"/>
  <c r="D218" i="40"/>
  <c r="D802" i="40"/>
  <c r="D6" i="40"/>
  <c r="D1031" i="40"/>
  <c r="D831" i="40"/>
  <c r="D466" i="40"/>
  <c r="D80" i="40"/>
  <c r="D379" i="40"/>
  <c r="D978" i="40"/>
  <c r="D461" i="40"/>
  <c r="D388" i="40"/>
  <c r="D870" i="40"/>
  <c r="D465" i="40"/>
  <c r="D792" i="40"/>
  <c r="D580" i="40"/>
  <c r="D579" i="40"/>
  <c r="D66" i="40"/>
  <c r="D7" i="40"/>
  <c r="D348" i="40"/>
  <c r="D646" i="40"/>
  <c r="D1005" i="40"/>
  <c r="D404" i="40"/>
  <c r="D967" i="40"/>
  <c r="D488" i="40"/>
  <c r="D419" i="40"/>
  <c r="D521" i="40"/>
  <c r="D256" i="40"/>
  <c r="D502" i="40"/>
  <c r="D749" i="40"/>
  <c r="D33" i="40"/>
  <c r="D621" i="40"/>
  <c r="D192" i="40"/>
  <c r="D132" i="40"/>
  <c r="D560" i="40"/>
  <c r="D879" i="40"/>
  <c r="D648" i="40"/>
  <c r="D863" i="40"/>
  <c r="D45" i="40"/>
  <c r="D823" i="40"/>
  <c r="D5" i="38"/>
  <c r="D283" i="40"/>
  <c r="D917" i="40"/>
  <c r="D673" i="40"/>
  <c r="D839" i="40"/>
  <c r="D553" i="40"/>
  <c r="D817" i="40"/>
  <c r="D324" i="40"/>
  <c r="D998" i="40"/>
  <c r="D205" i="40"/>
  <c r="D144" i="40"/>
  <c r="D1012" i="40"/>
  <c r="D780" i="40"/>
  <c r="D79" i="40"/>
  <c r="D776" i="40"/>
  <c r="D288" i="40"/>
  <c r="D516" i="40"/>
  <c r="D126" i="40"/>
  <c r="D783" i="40"/>
  <c r="D575" i="40"/>
  <c r="D930" i="40"/>
  <c r="D360" i="40"/>
  <c r="D238" i="40"/>
  <c r="D87" i="40"/>
  <c r="D963" i="40"/>
  <c r="D769" i="40"/>
  <c r="D340" i="40"/>
  <c r="D76" i="40"/>
  <c r="D134" i="40"/>
  <c r="D195" i="40"/>
  <c r="D514" i="40"/>
  <c r="D764" i="40"/>
  <c r="D811" i="40"/>
  <c r="D187" i="40"/>
  <c r="D867" i="40"/>
  <c r="D93" i="40"/>
  <c r="D4" i="38"/>
  <c r="D820" i="40"/>
  <c r="D897" i="40"/>
  <c r="D459" i="40"/>
  <c r="D981" i="40"/>
  <c r="D931" i="40"/>
  <c r="D979" i="40"/>
  <c r="D884" i="40"/>
  <c r="D662" i="40"/>
  <c r="D819" i="40"/>
  <c r="D67" i="40"/>
  <c r="D343" i="40"/>
  <c r="D323" i="40"/>
  <c r="D309" i="40"/>
  <c r="D1020" i="40"/>
  <c r="D460" i="40"/>
  <c r="D57" i="40"/>
  <c r="D454" i="40"/>
  <c r="D943" i="40"/>
  <c r="D726" i="40"/>
  <c r="D61" i="40"/>
  <c r="D372" i="40"/>
  <c r="D402" i="40"/>
  <c r="D589" i="40"/>
  <c r="D412" i="40"/>
  <c r="D177" i="40"/>
  <c r="D174" i="40"/>
  <c r="D246" i="40"/>
  <c r="D358" i="40"/>
  <c r="D166" i="40"/>
  <c r="D1048" i="40"/>
  <c r="D1044" i="40"/>
  <c r="D55" i="40"/>
  <c r="D663" i="40"/>
  <c r="D142" i="40"/>
  <c r="D858" i="40"/>
  <c r="D1033" i="40"/>
  <c r="D656" i="40"/>
  <c r="D500" i="40"/>
  <c r="D754" i="40"/>
  <c r="D477" i="40"/>
  <c r="D565" i="40"/>
  <c r="D332" i="40"/>
  <c r="D1034" i="40"/>
  <c r="D483" i="40"/>
  <c r="D552" i="40"/>
  <c r="D382" i="40"/>
  <c r="D155" i="40"/>
  <c r="D813" i="40"/>
  <c r="D643" i="40"/>
  <c r="D122" i="40"/>
  <c r="D708" i="40"/>
  <c r="D882" i="40"/>
  <c r="D587" i="40"/>
  <c r="D23" i="40"/>
  <c r="D679" i="40"/>
  <c r="D945" i="40"/>
  <c r="D842" i="40"/>
  <c r="D571" i="40"/>
  <c r="D658" i="40"/>
  <c r="D1028" i="40"/>
  <c r="D273" i="40"/>
  <c r="D970" i="40"/>
  <c r="D471" i="40"/>
  <c r="D593" i="40"/>
  <c r="D573" i="40"/>
  <c r="D801" i="40"/>
  <c r="D51" i="40"/>
  <c r="D832" i="40"/>
  <c r="D408" i="40"/>
  <c r="D499" i="40"/>
  <c r="D510" i="40"/>
  <c r="D523" i="40"/>
  <c r="D542" i="40"/>
  <c r="D815" i="40"/>
  <c r="D608" i="40"/>
  <c r="D609" i="40"/>
  <c r="D352" i="40"/>
  <c r="D1000" i="40"/>
  <c r="D467" i="40"/>
  <c r="D762" i="40"/>
  <c r="D263" i="40"/>
  <c r="D387" i="40"/>
  <c r="D505" i="40"/>
  <c r="D442" i="40"/>
  <c r="D29" i="40"/>
  <c r="D290" i="40"/>
  <c r="D547" i="40"/>
  <c r="D26" i="40"/>
  <c r="D812" i="40"/>
  <c r="D1039" i="40"/>
  <c r="D997" i="40"/>
  <c r="D190" i="40"/>
  <c r="D591" i="40"/>
  <c r="D990" i="40"/>
  <c r="D515" i="40"/>
  <c r="D545" i="40"/>
  <c r="D300" i="40"/>
  <c r="D718" i="40"/>
  <c r="D723" i="40"/>
  <c r="D322" i="40"/>
  <c r="D766" i="40"/>
  <c r="D261" i="40"/>
  <c r="D936" i="40"/>
  <c r="D214" i="40"/>
  <c r="D556" i="40"/>
  <c r="D219" i="40"/>
  <c r="D11" i="40"/>
  <c r="D72" i="40"/>
  <c r="D999" i="40"/>
  <c r="D928" i="40"/>
  <c r="D810" i="40"/>
  <c r="D618" i="40"/>
  <c r="D244" i="40"/>
  <c r="D180" i="40"/>
  <c r="D550" i="40"/>
  <c r="D781" i="40"/>
  <c r="D296" i="40"/>
  <c r="D710" i="40"/>
  <c r="D269" i="40"/>
  <c r="D924" i="40"/>
  <c r="D619" i="40"/>
  <c r="D627" i="40"/>
  <c r="D248" i="40"/>
  <c r="D303" i="40"/>
  <c r="D675" i="40"/>
  <c r="D128" i="40"/>
  <c r="D346" i="40"/>
  <c r="D380" i="40"/>
  <c r="D403" i="40"/>
  <c r="D414" i="40"/>
  <c r="D705" i="40"/>
  <c r="D421" i="40"/>
  <c r="D691" i="40"/>
  <c r="D114" i="40"/>
  <c r="D112" i="40"/>
  <c r="D405" i="40"/>
  <c r="D370" i="40"/>
  <c r="D223" i="40"/>
  <c r="D108" i="40"/>
  <c r="D1045" i="40"/>
  <c r="D46" i="40"/>
  <c r="D700" i="40"/>
  <c r="D1007" i="40"/>
  <c r="D666" i="40"/>
  <c r="D628" i="40"/>
  <c r="D862" i="40"/>
  <c r="D291" i="40"/>
  <c r="D434" i="40"/>
  <c r="D532" i="40"/>
  <c r="D350" i="40"/>
  <c r="D441" i="40"/>
  <c r="D953" i="40"/>
  <c r="D756" i="40"/>
  <c r="D829" i="40"/>
  <c r="D778" i="40"/>
  <c r="D724" i="40"/>
  <c r="D1041" i="40"/>
  <c r="D730" i="40"/>
  <c r="D878" i="40"/>
  <c r="D375" i="40"/>
  <c r="D731" i="40"/>
  <c r="D297" i="40"/>
  <c r="D234" i="40"/>
  <c r="D898" i="40"/>
  <c r="D570" i="40"/>
  <c r="D32" i="40"/>
  <c r="D101" i="40"/>
  <c r="D48" i="40"/>
  <c r="D601" i="40"/>
  <c r="D257" i="40"/>
  <c r="D751" i="40"/>
  <c r="D688" i="40"/>
  <c r="D747" i="40"/>
  <c r="D264" i="40"/>
  <c r="D951" i="40"/>
  <c r="D647" i="40"/>
  <c r="D417" i="40"/>
  <c r="D1011" i="40"/>
  <c r="D742" i="40"/>
  <c r="D90" i="40"/>
  <c r="D171" i="40"/>
  <c r="D120" i="40"/>
  <c r="D757" i="40"/>
  <c r="D232" i="40"/>
  <c r="D73" i="40"/>
  <c r="D690" i="40"/>
  <c r="D117" i="40"/>
  <c r="D955" i="40"/>
  <c r="D996" i="40"/>
  <c r="D376" i="40"/>
  <c r="D992" i="40"/>
  <c r="D940" i="40"/>
  <c r="D94" i="40"/>
  <c r="D36" i="40"/>
  <c r="D5" i="40"/>
  <c r="D349" i="40"/>
  <c r="D235" i="40"/>
  <c r="D980" i="40"/>
  <c r="D1025" i="40"/>
  <c r="D168" i="40"/>
  <c r="D869" i="40"/>
  <c r="D202" i="40"/>
  <c r="D381" i="40"/>
  <c r="D329" i="40"/>
  <c r="D694" i="40"/>
  <c r="D717" i="40"/>
  <c r="D396" i="40"/>
  <c r="D961" i="40"/>
  <c r="D390" i="40"/>
  <c r="D418" i="40"/>
  <c r="D429" i="40"/>
  <c r="D302" i="40"/>
  <c r="D1052" i="40"/>
  <c r="D274" i="40"/>
  <c r="D123" i="40"/>
  <c r="D292" i="40"/>
  <c r="D1066" i="40"/>
  <c r="D699" i="40"/>
  <c r="D217" i="40"/>
  <c r="D639" i="40"/>
  <c r="D468" i="40"/>
  <c r="D600" i="40"/>
  <c r="D689" i="40"/>
  <c r="D432" i="40"/>
  <c r="D976" i="40"/>
  <c r="D1002" i="40"/>
  <c r="D54" i="40"/>
  <c r="D479" i="40"/>
  <c r="D840" i="40"/>
  <c r="D294" i="40"/>
  <c r="D47" i="40"/>
  <c r="D620" i="40"/>
  <c r="D921" i="40"/>
  <c r="D86" i="40"/>
  <c r="D785" i="40"/>
  <c r="D517" i="40"/>
  <c r="D289" i="40"/>
  <c r="D338" i="40"/>
  <c r="D1027" i="40"/>
  <c r="D209" i="40"/>
  <c r="D496" i="40"/>
  <c r="D420" i="40"/>
  <c r="D501" i="40"/>
  <c r="D904" i="40"/>
  <c r="D506" i="40"/>
  <c r="D909" i="40"/>
  <c r="D495" i="40"/>
  <c r="D722" i="40"/>
  <c r="D614" i="40"/>
  <c r="D365" i="40"/>
  <c r="D336" i="40"/>
  <c r="D472" i="40"/>
  <c r="D191" i="40"/>
  <c r="D683" i="40"/>
  <c r="D1059" i="40"/>
  <c r="D20" i="40"/>
  <c r="D267" i="40"/>
  <c r="D786" i="40"/>
  <c r="D701" i="40"/>
  <c r="D167" i="40"/>
  <c r="D834" i="40"/>
  <c r="D543" i="40"/>
  <c r="D109" i="40"/>
  <c r="D272" i="40"/>
  <c r="D436" i="40"/>
  <c r="D113" i="40"/>
  <c r="D392" i="40"/>
  <c r="D1001" i="40"/>
  <c r="D744" i="40"/>
  <c r="D880" i="40"/>
  <c r="D84" i="40"/>
  <c r="D49" i="40"/>
  <c r="D775" i="40"/>
  <c r="D3" i="40"/>
  <c r="D181" i="40"/>
  <c r="D62" i="40"/>
  <c r="D333" i="40"/>
  <c r="D353" i="40"/>
  <c r="D103" i="40"/>
  <c r="D894" i="40"/>
  <c r="D319" i="40"/>
  <c r="D435" i="40"/>
  <c r="D711" i="40"/>
  <c r="D237" i="40"/>
  <c r="D494" i="40"/>
  <c r="D703" i="40"/>
  <c r="D946" i="40"/>
  <c r="D438" i="40"/>
  <c r="D356" i="40"/>
  <c r="D891" i="40"/>
  <c r="D398" i="40"/>
  <c r="D986" i="40"/>
  <c r="D602" i="40"/>
  <c r="D816" i="40"/>
  <c r="D837" i="40"/>
  <c r="D52" i="40"/>
  <c r="D853" i="40"/>
  <c r="D160" i="40"/>
  <c r="D241" i="40"/>
  <c r="D24" i="40"/>
  <c r="D1009" i="40"/>
  <c r="D328" i="40"/>
  <c r="D537" i="40"/>
  <c r="D427" i="40"/>
  <c r="D3" i="38"/>
  <c r="D306" i="40"/>
  <c r="D21" i="40"/>
  <c r="D526" i="40"/>
  <c r="D959" i="40"/>
  <c r="D133" i="40"/>
  <c r="D685" i="40"/>
  <c r="D163" i="40"/>
  <c r="D750" i="40"/>
  <c r="D18" i="40"/>
  <c r="D1003" i="40"/>
  <c r="D595" i="40"/>
  <c r="D512" i="40"/>
  <c r="D642" i="40"/>
  <c r="D1053" i="40"/>
  <c r="D8" i="40"/>
  <c r="D2" i="38"/>
  <c r="D299" i="40"/>
  <c r="D487" i="40"/>
  <c r="D70" i="40"/>
  <c r="D549" i="40"/>
  <c r="D431" i="40"/>
  <c r="D546" i="40"/>
  <c r="D1018" i="40"/>
  <c r="D316" i="40"/>
  <c r="D331" i="40"/>
  <c r="D383" i="40"/>
  <c r="D733" i="40"/>
  <c r="D668" i="40"/>
  <c r="D1050" i="40"/>
  <c r="D193" i="40"/>
  <c r="D30" i="40"/>
  <c r="D653" i="40"/>
  <c r="D975" i="40"/>
  <c r="D695" i="40"/>
  <c r="D748" i="40"/>
  <c r="D649" i="40"/>
  <c r="D876" i="40"/>
  <c r="D650" i="40"/>
  <c r="D803" i="40"/>
  <c r="D96" i="40"/>
  <c r="D399" i="40"/>
  <c r="D99" i="40"/>
  <c r="D938" i="40"/>
  <c r="D224" i="40"/>
  <c r="D704" i="40"/>
  <c r="D265" i="40"/>
  <c r="D157" i="40"/>
  <c r="D920" i="40"/>
  <c r="D907" i="40"/>
  <c r="D1029" i="40"/>
  <c r="D339" i="40"/>
  <c r="D225" i="40"/>
  <c r="D13" i="40"/>
  <c r="D973" i="40"/>
  <c r="D892" i="40"/>
  <c r="D1038" i="40"/>
  <c r="D586" i="40"/>
  <c r="D864" i="40"/>
  <c r="D535" i="40"/>
  <c r="D799" i="40"/>
  <c r="D28" i="40"/>
  <c r="D140" i="40"/>
  <c r="D53" i="40"/>
  <c r="D540" i="40"/>
  <c r="D369" i="40"/>
  <c r="D624" i="40"/>
  <c r="D926" i="40"/>
  <c r="D896" i="40"/>
  <c r="D678" i="40"/>
  <c r="D566" i="40"/>
  <c r="D498" i="40"/>
  <c r="D220" i="40"/>
  <c r="D948" i="40"/>
  <c r="D130" i="40"/>
  <c r="D790" i="40"/>
  <c r="D633" i="40"/>
  <c r="D1004" i="40"/>
  <c r="D525" i="40"/>
  <c r="D910" i="40"/>
  <c r="D9" i="40"/>
  <c r="D796" i="40"/>
  <c r="D562" i="40"/>
  <c r="D286" i="40"/>
  <c r="D423" i="40"/>
  <c r="D41" i="40"/>
  <c r="D838" i="40"/>
  <c r="D843" i="40"/>
  <c r="D508" i="40"/>
  <c r="D548" i="40"/>
  <c r="D342" i="40"/>
  <c r="D861" i="40"/>
  <c r="D345" i="40"/>
  <c r="D630" i="40"/>
  <c r="D2" i="40"/>
  <c r="D249" i="40"/>
  <c r="D1046" i="40"/>
  <c r="D364" i="40"/>
  <c r="D149" i="40"/>
  <c r="D457" i="40"/>
  <c r="D437" i="40"/>
  <c r="D636" i="40"/>
  <c r="D555" i="40"/>
  <c r="D252" i="40"/>
  <c r="D210" i="40"/>
  <c r="D855" i="40"/>
  <c r="D670" i="40"/>
  <c r="D176" i="40"/>
  <c r="D539" i="40"/>
  <c r="D513" i="40"/>
  <c r="D278" i="40"/>
  <c r="D1051" i="40"/>
  <c r="D136" i="40"/>
  <c r="D680" i="40"/>
  <c r="D866" i="40"/>
  <c r="D35" i="40"/>
  <c r="D143" i="40"/>
  <c r="D541" i="40"/>
  <c r="D89" i="40"/>
  <c r="D197" i="40"/>
  <c r="D447" i="40"/>
  <c r="D14" i="40"/>
  <c r="D74" i="40"/>
  <c r="D911" i="40"/>
  <c r="D313" i="40"/>
  <c r="D1056" i="40"/>
  <c r="D895" i="40"/>
  <c r="D1067" i="40"/>
  <c r="D734" i="40"/>
  <c r="D927" i="40"/>
  <c r="D559" i="40"/>
  <c r="D491" i="40"/>
  <c r="D818" i="40"/>
  <c r="D942" i="40"/>
  <c r="D486" i="40"/>
  <c r="D1060" i="40"/>
  <c r="D229" i="40"/>
  <c r="D305" i="40"/>
  <c r="D522" i="40"/>
  <c r="D228" i="40"/>
  <c r="D271" i="40"/>
  <c r="D974" i="40"/>
  <c r="D531" i="40"/>
  <c r="D275" i="40"/>
  <c r="D603" i="40"/>
  <c r="D702" i="40"/>
  <c r="D38" i="40"/>
  <c r="D577" i="40"/>
  <c r="D952" i="40"/>
  <c r="D596" i="40"/>
  <c r="D798" i="40"/>
  <c r="D994" i="40"/>
  <c r="D162" i="40"/>
  <c r="D925" i="40"/>
  <c r="D655" i="40"/>
  <c r="D903" i="40"/>
  <c r="D481" i="40"/>
  <c r="D890" i="40"/>
  <c r="D458" i="40"/>
  <c r="D612" i="40"/>
  <c r="D797" i="40"/>
  <c r="D170" i="40"/>
  <c r="D824" i="40"/>
  <c r="D1017" i="40"/>
  <c r="D774" i="40"/>
  <c r="D1021" i="40"/>
  <c r="D81" i="40"/>
  <c r="D807" i="40"/>
  <c r="D285" i="40"/>
  <c r="D1026" i="40"/>
  <c r="D615" i="40"/>
  <c r="D95" i="40"/>
  <c r="D564" i="40"/>
  <c r="D307" i="40"/>
  <c r="D373" i="40"/>
  <c r="D772" i="40"/>
  <c r="D413" i="40"/>
  <c r="D558" i="40"/>
  <c r="D31" i="40"/>
  <c r="D100" i="40"/>
  <c r="D440" i="40"/>
  <c r="D640" i="40"/>
  <c r="D554" i="40"/>
  <c r="D138" i="40"/>
  <c r="D115" i="40"/>
  <c r="D311" i="40"/>
  <c r="D949" i="40"/>
  <c r="D709" i="40"/>
  <c r="D1036" i="40"/>
  <c r="D939" i="40"/>
  <c r="D277" i="40"/>
  <c r="D453" i="40"/>
  <c r="D63" i="40"/>
  <c r="D604" i="40"/>
  <c r="D17" i="40"/>
  <c r="D808" i="40"/>
  <c r="D568" i="40"/>
  <c r="D1055" i="40"/>
  <c r="D363" i="40"/>
  <c r="D391" i="40"/>
  <c r="D444" i="40"/>
  <c r="D674" i="40"/>
  <c r="D151" i="40"/>
  <c r="D682" i="40"/>
  <c r="D37" i="40"/>
  <c r="D415" i="40"/>
  <c r="D175" i="40"/>
  <c r="D124" i="40"/>
  <c r="D118" i="40"/>
  <c r="D59" i="40"/>
  <c r="D394" i="40"/>
  <c r="D240" i="40"/>
  <c r="D982" i="40"/>
  <c r="D97" i="40"/>
  <c r="D68" i="40"/>
  <c r="D714" i="40"/>
  <c r="D760" i="40"/>
  <c r="D147" i="40"/>
  <c r="D988" i="40"/>
  <c r="D312" i="40"/>
  <c r="D196" i="40"/>
  <c r="D201" i="40"/>
  <c r="D439" i="40"/>
  <c r="D581" i="40"/>
  <c r="D215" i="40"/>
  <c r="D184" i="40"/>
  <c r="D789" i="40"/>
  <c r="D295" i="40"/>
  <c r="D425" i="40"/>
  <c r="D657" i="40"/>
  <c r="D893" i="40"/>
  <c r="D871" i="40"/>
  <c r="D22" i="40"/>
  <c r="D359" i="40"/>
  <c r="D250" i="40"/>
  <c r="D877" i="40"/>
  <c r="D886" i="40"/>
  <c r="D788" i="40"/>
  <c r="D845" i="40"/>
  <c r="D489" i="40"/>
  <c r="D965" i="40"/>
  <c r="D645" i="40"/>
  <c r="D761" i="40"/>
  <c r="D784" i="40"/>
  <c r="D164" i="40"/>
  <c r="D64" i="40"/>
  <c r="D474" i="40"/>
  <c r="D25" i="40"/>
  <c r="D452" i="40"/>
  <c r="D594" i="40"/>
  <c r="D787" i="40"/>
  <c r="D1035" i="40"/>
  <c r="D607" i="40"/>
  <c r="D966" i="40"/>
  <c r="D280" i="40"/>
  <c r="D161" i="40"/>
  <c r="D1013" i="40"/>
  <c r="D728" i="40"/>
  <c r="D805" i="40"/>
  <c r="D828" i="40"/>
  <c r="D85" i="40"/>
  <c r="D139" i="40"/>
  <c r="D39" i="40"/>
  <c r="D199" i="40"/>
  <c r="D478" i="40"/>
  <c r="D469" i="40"/>
  <c r="D913" i="40"/>
  <c r="D763" i="40"/>
  <c r="D721" i="40"/>
  <c r="D165" i="40"/>
  <c r="D148" i="40"/>
  <c r="D1023" i="40"/>
  <c r="D782" i="40"/>
  <c r="D110" i="40"/>
  <c r="D1069" i="40"/>
  <c r="D247" i="40"/>
  <c r="D377" i="40"/>
  <c r="D669" i="40"/>
  <c r="D183" i="40"/>
  <c r="D446" i="40"/>
  <c r="D631" i="40"/>
  <c r="D127" i="40"/>
  <c r="D298" i="40"/>
  <c r="D958" i="40"/>
  <c r="D576" i="40"/>
  <c r="D825" i="40"/>
  <c r="D75" i="40"/>
  <c r="D473" i="40"/>
  <c r="D849" i="40"/>
  <c r="D270" i="40"/>
  <c r="D188" i="40"/>
  <c r="D661" i="40"/>
  <c r="D284" i="40"/>
  <c r="D231" i="40"/>
  <c r="D889" i="40"/>
  <c r="D327" i="40"/>
  <c r="D984" i="40"/>
  <c r="D153" i="40"/>
  <c r="D795" i="40"/>
  <c r="D868" i="40"/>
  <c r="D588" i="40"/>
  <c r="D598" i="40"/>
  <c r="D865" i="40"/>
  <c r="D69" i="40"/>
  <c r="D507" i="40"/>
  <c r="D883" i="40"/>
  <c r="D972" i="40"/>
  <c r="D145" i="40"/>
  <c r="D258" i="40"/>
  <c r="D172" i="40"/>
  <c r="D851" i="40"/>
  <c r="D245" i="40"/>
  <c r="D19" i="40"/>
  <c r="D1065" i="40"/>
  <c r="D574" i="40"/>
  <c r="D137" i="40"/>
  <c r="D203" i="40"/>
  <c r="D567" i="40"/>
  <c r="D15" i="40"/>
  <c r="D634" i="40"/>
  <c r="D793" i="40"/>
  <c r="D1054" i="40"/>
  <c r="D318" i="40"/>
  <c r="D791" i="40"/>
  <c r="D317" i="40"/>
  <c r="D915" i="40"/>
  <c r="D121" i="40"/>
  <c r="D735" i="40"/>
  <c r="D597" i="40"/>
  <c r="D629" i="40"/>
  <c r="D1030" i="40"/>
  <c r="D905" i="40"/>
  <c r="D222" i="40"/>
  <c r="D56" i="40"/>
  <c r="D641" i="40"/>
  <c r="D484" i="40"/>
  <c r="D102" i="40"/>
  <c r="D954" i="40"/>
  <c r="D916" i="40"/>
  <c r="D406" i="40"/>
  <c r="D527" i="40"/>
  <c r="D397" i="40"/>
  <c r="D626" i="40"/>
  <c r="D677" i="40"/>
  <c r="D493" i="40"/>
  <c r="D43" i="40"/>
  <c r="D664" i="40"/>
  <c r="D755" i="40"/>
  <c r="D1019" i="40"/>
  <c r="D637" i="40"/>
  <c r="D430" i="40"/>
  <c r="D758" i="40"/>
  <c r="D534" i="40"/>
  <c r="D310" i="40"/>
  <c r="D243" i="40"/>
  <c r="D221" i="40"/>
  <c r="D1006" i="40"/>
  <c r="D1014" i="40"/>
  <c r="D253" i="40"/>
  <c r="D874"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Georgia Technology Authority</author>
  </authors>
  <commentList>
    <comment ref="C23" authorId="0" shapeId="0" xr:uid="{00000000-0006-0000-0600-000001000000}">
      <text>
        <r>
          <rPr>
            <sz val="9"/>
            <color indexed="81"/>
            <rFont val="Times New Roman"/>
            <family val="1"/>
          </rPr>
          <t>Securities backed by assets other than mortgages, i.e., accounts receivable, auto loans, credit cards, etc.</t>
        </r>
        <r>
          <rPr>
            <sz val="8"/>
            <color indexed="81"/>
            <rFont val="Tahoma"/>
            <family val="2"/>
          </rPr>
          <t xml:space="preserve">
</t>
        </r>
      </text>
    </comment>
    <comment ref="C29" authorId="0" shapeId="0" xr:uid="{00000000-0006-0000-0600-000002000000}">
      <text>
        <r>
          <rPr>
            <sz val="10"/>
            <color indexed="81"/>
            <rFont val="Times New Roman"/>
            <family val="1"/>
          </rPr>
          <t>This category includes holdings in what are referred to as "closed-end" mutual funds.</t>
        </r>
        <r>
          <rPr>
            <sz val="8"/>
            <color indexed="81"/>
            <rFont val="Tahoma"/>
            <family val="2"/>
          </rPr>
          <t xml:space="preserve">
</t>
        </r>
      </text>
    </comment>
    <comment ref="I33" authorId="0" shapeId="0" xr:uid="{00000000-0006-0000-0600-000003000000}">
      <text>
        <r>
          <rPr>
            <sz val="10"/>
            <color indexed="81"/>
            <rFont val="Times New Roman"/>
            <family val="1"/>
          </rPr>
          <t>Provide weighted average maturity (WAM) or equivalent measure of the fund's collective maturity.</t>
        </r>
      </text>
    </comment>
    <comment ref="K33" authorId="0" shapeId="0" xr:uid="{00000000-0006-0000-0600-000004000000}">
      <text>
        <r>
          <rPr>
            <sz val="10"/>
            <color indexed="81"/>
            <rFont val="Times New Roman"/>
            <family val="1"/>
          </rPr>
          <t>It is possible that such funds are not rated, therefore should be indicated as "Unrated".</t>
        </r>
      </text>
    </comment>
    <comment ref="C34" authorId="0" shapeId="0" xr:uid="{00000000-0006-0000-0600-000005000000}">
      <text>
        <r>
          <rPr>
            <sz val="10"/>
            <color indexed="81"/>
            <rFont val="Times New Roman"/>
            <family val="1"/>
          </rPr>
          <t>These differ from "nonnegotiable certificates of deposits" which should be included in "Deposits" (i.e., should be collateralized by the issuing financial institution) for footnote disclosures.</t>
        </r>
      </text>
    </comment>
    <comment ref="B57" authorId="0" shapeId="0" xr:uid="{00000000-0006-0000-0600-000006000000}">
      <text>
        <r>
          <rPr>
            <sz val="10"/>
            <color indexed="81"/>
            <rFont val="Times New Roman"/>
            <family val="1"/>
          </rPr>
          <t xml:space="preserve">Georgia Department of Labor only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<sst xmlns="http://schemas.openxmlformats.org/spreadsheetml/2006/main" count="10438" uniqueCount="1158">
  <si>
    <t>Not Applicable</t>
  </si>
  <si>
    <t>This matrix is not all inclusive, but includes only those investment types most commonly held in prior years.  The risk disclosures</t>
  </si>
  <si>
    <t xml:space="preserve">for investment types not listed below must be determined by the holding organization in accordance with the Provisions of </t>
  </si>
  <si>
    <t>X</t>
  </si>
  <si>
    <t>FOREIGN CURRENCY RISK</t>
  </si>
  <si>
    <t>Categories are:</t>
  </si>
  <si>
    <t>Student Loan marketing Association (SLMA)</t>
  </si>
  <si>
    <t>RISK DISCLOSURE INFORMATION</t>
  </si>
  <si>
    <t>Insured or registered in the organization's name</t>
  </si>
  <si>
    <t>Definitions Relevant to Custodial Credit Risk</t>
  </si>
  <si>
    <t>Definitions Relevant to Credit Quality Risk</t>
  </si>
  <si>
    <t>Entity Code:</t>
  </si>
  <si>
    <t xml:space="preserve">Entity Name: </t>
  </si>
  <si>
    <t>Commercial Paper</t>
  </si>
  <si>
    <t>Reverse Repurchase Agreements</t>
  </si>
  <si>
    <t>Guaranteed Investment Contracts</t>
  </si>
  <si>
    <t>Real Estate</t>
  </si>
  <si>
    <t>INVESTMENT ANALYSIS AND DISCLOSURE OF RISKS</t>
  </si>
  <si>
    <t>Common Stock</t>
  </si>
  <si>
    <t>(1)</t>
  </si>
  <si>
    <t>(2)</t>
  </si>
  <si>
    <t>(3)</t>
  </si>
  <si>
    <t>INTEREST RATE RISK</t>
  </si>
  <si>
    <t>4-12 Months</t>
  </si>
  <si>
    <t>1-5 Years</t>
  </si>
  <si>
    <t>6-10 Years</t>
  </si>
  <si>
    <t>CREDIT QUALITY RISK</t>
  </si>
  <si>
    <t>GL Account Name</t>
  </si>
  <si>
    <t>CUSTODIAL CREDIT RISK</t>
  </si>
  <si>
    <t>(A)</t>
  </si>
  <si>
    <t>RECONCILING ITEMS</t>
  </si>
  <si>
    <t>GL Acct No</t>
  </si>
  <si>
    <t>Amount</t>
  </si>
  <si>
    <t>(+)</t>
  </si>
  <si>
    <t>(-)</t>
  </si>
  <si>
    <t>(+/-)</t>
  </si>
  <si>
    <t>(A) + (1) - (2) +/- (3)</t>
  </si>
  <si>
    <t>Cash Surrender Value of Life Insurance</t>
  </si>
  <si>
    <t>Municipal Bonds</t>
  </si>
  <si>
    <t>RECONCILIATION OF FOOTNOTE INVESTMENTS TO GENERAL LEDGER INVESTMENTS</t>
  </si>
  <si>
    <t>Preferred Stock</t>
  </si>
  <si>
    <t>Government National Mortgage Association (GNMA)</t>
  </si>
  <si>
    <t>Small Business Administration (SBA)</t>
  </si>
  <si>
    <t>Export-Import Bank (EXIMBANK)</t>
  </si>
  <si>
    <t>Federal National Mortgage Association (FNMA)</t>
  </si>
  <si>
    <t>Federal Home Loan Banks (FHLB)</t>
  </si>
  <si>
    <t>Federal Home Loan Mortgage Corporation (FHLMC)</t>
  </si>
  <si>
    <t>Federal Farm Credit Banks (FFCB)</t>
  </si>
  <si>
    <t>Student Loan Marketing Association (SLMA)</t>
  </si>
  <si>
    <t>Mortgages</t>
  </si>
  <si>
    <t>Open-end Mutual Funds</t>
  </si>
  <si>
    <t>Limited Partnerships</t>
  </si>
  <si>
    <t>MATURITY</t>
  </si>
  <si>
    <t>RISK</t>
  </si>
  <si>
    <t>QUALITY</t>
  </si>
  <si>
    <t>CREDIT</t>
  </si>
  <si>
    <t>REGARDING</t>
  </si>
  <si>
    <t>INFORMATION</t>
  </si>
  <si>
    <t>RISK MATRIX</t>
  </si>
  <si>
    <t>Yes</t>
  </si>
  <si>
    <t>No</t>
  </si>
  <si>
    <t>A</t>
  </si>
  <si>
    <t>B</t>
  </si>
  <si>
    <t>C</t>
  </si>
  <si>
    <t>D</t>
  </si>
  <si>
    <t>E</t>
  </si>
  <si>
    <t>F</t>
  </si>
  <si>
    <t>G</t>
  </si>
  <si>
    <t>APPLICABLE CUSTODIAL CREDIT RISK CATEGORY</t>
  </si>
  <si>
    <t>H</t>
  </si>
  <si>
    <t>I</t>
  </si>
  <si>
    <t>J</t>
  </si>
  <si>
    <t>K</t>
  </si>
  <si>
    <t>L</t>
  </si>
  <si>
    <t>M</t>
  </si>
  <si>
    <t>O</t>
  </si>
  <si>
    <t>P</t>
  </si>
  <si>
    <t>Q</t>
  </si>
  <si>
    <t>GENERAL LEDGER INFORMATION</t>
  </si>
  <si>
    <t>RISK DISCLOSURES</t>
  </si>
  <si>
    <t>FAIR VALUE INFORMATION</t>
  </si>
  <si>
    <t>RATE RISK</t>
  </si>
  <si>
    <t>PERIOD FOR</t>
  </si>
  <si>
    <t>ASSESSMENT</t>
  </si>
  <si>
    <t>OF INTEREST</t>
  </si>
  <si>
    <t>Depends on underlying investments</t>
  </si>
  <si>
    <t>ORGANIZATION MUST PROVIDE</t>
  </si>
  <si>
    <r>
      <t>ADD/DELETE</t>
    </r>
    <r>
      <rPr>
        <sz val="10"/>
        <rFont val="Times New Roman"/>
        <family val="1"/>
      </rPr>
      <t xml:space="preserve"> Other</t>
    </r>
  </si>
  <si>
    <t>U. S. Treasury Obligations</t>
  </si>
  <si>
    <t>U. S. Agency Obligations</t>
  </si>
  <si>
    <t>Explicitly Guaranteed by the U. S. Government</t>
  </si>
  <si>
    <t>Implicitly Guaranteed by the U. S. Government</t>
  </si>
  <si>
    <t>Corporate Bonds and Other Corporate Debt</t>
  </si>
  <si>
    <t>Repurchase Agreements</t>
  </si>
  <si>
    <t>Underlying Securities</t>
  </si>
  <si>
    <t>Real Estate Investment Trusts</t>
  </si>
  <si>
    <t>Joint Ventures</t>
  </si>
  <si>
    <t>Venture Capital</t>
  </si>
  <si>
    <t>Futures and Hedge Funds</t>
  </si>
  <si>
    <t>Explicitly Guaranteed by the U. S. Government (e.g., below)</t>
  </si>
  <si>
    <t>Implicitly Guaranteed by the U. S. Government (e.g., below)</t>
  </si>
  <si>
    <r>
      <t xml:space="preserve">NOT Required to be Categorized for </t>
    </r>
    <r>
      <rPr>
        <b/>
        <sz val="11"/>
        <rFont val="Times New Roman"/>
        <family val="1"/>
      </rPr>
      <t>Custodial Credit Risk</t>
    </r>
  </si>
  <si>
    <r>
      <t xml:space="preserve">Required to be Categorized for </t>
    </r>
    <r>
      <rPr>
        <b/>
        <sz val="11"/>
        <rFont val="Times New Roman"/>
        <family val="1"/>
      </rPr>
      <t>Custodial Credit Risk</t>
    </r>
  </si>
  <si>
    <t>Money Market Mutual Funds</t>
  </si>
  <si>
    <t>GASB Statement No. 40.</t>
  </si>
  <si>
    <t>INVESTMENT ANALYSIS AND DISCLOSURE OF RISK FORMS</t>
  </si>
  <si>
    <t>(These items may be classified on the general ledger/financial statements as either Cash and Cash Equivalents or Investments)</t>
  </si>
  <si>
    <t>LEDGER OR FINAL FINANCIAL STATEMENTS - ALL FUNDS</t>
  </si>
  <si>
    <r>
      <t xml:space="preserve">TOTAL "GENERAL LEDGER INVESTMENTS" PER </t>
    </r>
    <r>
      <rPr>
        <b/>
        <u/>
        <sz val="11"/>
        <rFont val="Times New Roman"/>
        <family val="1"/>
      </rPr>
      <t>CONSOLIDATED</t>
    </r>
    <r>
      <rPr>
        <b/>
        <sz val="11"/>
        <rFont val="Times New Roman"/>
        <family val="1"/>
      </rPr>
      <t xml:space="preserve"> GENERAL</t>
    </r>
  </si>
  <si>
    <t>Debt Instruments</t>
  </si>
  <si>
    <t>Asset-backed Securities</t>
  </si>
  <si>
    <t>Mutual Funds - Debt</t>
  </si>
  <si>
    <t>Banker's Acceptances</t>
  </si>
  <si>
    <t>Mortgage-backed Securities - Commercial</t>
  </si>
  <si>
    <t>Foreign Government Bonds</t>
  </si>
  <si>
    <t>Investment Trusts</t>
  </si>
  <si>
    <t>Mutual Funds - Equities</t>
  </si>
  <si>
    <t>Other than U. S. Agency Obligations</t>
  </si>
  <si>
    <t>Equity Instruments</t>
  </si>
  <si>
    <t>Collateralized Mortgage Obligations</t>
  </si>
  <si>
    <t>Negotiable Certificates of Deposit</t>
  </si>
  <si>
    <t>Funds on Deposit with the U. S. Treasury for Unemployment Compensation</t>
  </si>
  <si>
    <t>Form Name</t>
  </si>
  <si>
    <t>Investment Analysis and Disclosure of Risk</t>
  </si>
  <si>
    <t>Due Date</t>
  </si>
  <si>
    <t>Submission Requirements</t>
  </si>
  <si>
    <t>Purpose of Form</t>
  </si>
  <si>
    <t>GASB/GAAP</t>
  </si>
  <si>
    <t>References</t>
  </si>
  <si>
    <t>SAO Contact</t>
  </si>
  <si>
    <r>
      <t>Insured</t>
    </r>
    <r>
      <rPr>
        <sz val="12"/>
        <rFont val="Times New Roman"/>
        <family val="1"/>
      </rPr>
      <t xml:space="preserve"> - covered by federal depository insurance funds, such as those maintained by the FDIC</t>
    </r>
  </si>
  <si>
    <r>
      <t>Registered</t>
    </r>
    <r>
      <rPr>
        <sz val="12"/>
        <rFont val="Times New Roman"/>
        <family val="1"/>
      </rPr>
      <t xml:space="preserve"> - securities issued to a specific individual, as opposed to being negotiable securities</t>
    </r>
  </si>
  <si>
    <t>GASB Codification Section I50 information presented about investments.</t>
  </si>
  <si>
    <t xml:space="preserve">   ►  GASB Statement 3, GASB Statement 14, GASB Statement 31 through 32, GASB Statement 34</t>
  </si>
  <si>
    <t xml:space="preserve">   ►  Also see Section I55 "Investments--Reverse Repurchase Agreements"</t>
  </si>
  <si>
    <t xml:space="preserve">   ►  Also see Section I60 "Investments--Securities Lending"</t>
  </si>
  <si>
    <t>General Information</t>
  </si>
  <si>
    <t>Applicable Organizations</t>
  </si>
  <si>
    <t>Different types of investments are exposed to different elements of investment risk.  Descriptions of the individual risk elements follow:</t>
  </si>
  <si>
    <t>a.</t>
  </si>
  <si>
    <t>b.</t>
  </si>
  <si>
    <t>c.</t>
  </si>
  <si>
    <t>d.</t>
  </si>
  <si>
    <t>f.</t>
  </si>
  <si>
    <t>i.</t>
  </si>
  <si>
    <t>j.</t>
  </si>
  <si>
    <t>k.</t>
  </si>
  <si>
    <t>l.</t>
  </si>
  <si>
    <t>o</t>
  </si>
  <si>
    <t>Verify the total of items (A) and (1) through (3).  This amount must agree with "Investments" on the general ledger or financial statements.</t>
  </si>
  <si>
    <t>Prepared By:</t>
  </si>
  <si>
    <t>Telephone #:</t>
  </si>
  <si>
    <r>
      <t>NOTE:</t>
    </r>
    <r>
      <rPr>
        <sz val="12"/>
        <color indexed="8"/>
        <rFont val="Times New Roman"/>
        <family val="1"/>
      </rPr>
      <t xml:space="preserve">  If the only footnote investments held by the organization are investments in external investment pools and the organization is not preparing complete organization financial statements, </t>
    </r>
    <r>
      <rPr>
        <u/>
        <sz val="12"/>
        <color indexed="8"/>
        <rFont val="Times New Roman"/>
        <family val="1"/>
      </rPr>
      <t>it is not necessary for an organization to complete these forms.</t>
    </r>
  </si>
  <si>
    <r>
      <t>Counterparty</t>
    </r>
    <r>
      <rPr>
        <sz val="12"/>
        <color indexed="8"/>
        <rFont val="Times New Roman"/>
        <family val="1"/>
      </rPr>
      <t xml:space="preserve"> - the party that pledges collateral or repurchase agreement securities to the organization or that sells investments to or buys them for the organization.  The custodial institution may be the counterparty and the organization's agent.</t>
    </r>
  </si>
  <si>
    <r>
      <t>Held in the organization's name</t>
    </r>
    <r>
      <rPr>
        <sz val="12"/>
        <color indexed="8"/>
        <rFont val="Times New Roman"/>
        <family val="1"/>
      </rPr>
      <t xml:space="preserve"> -  Book-entry securities are considered to held in the name of the organization if 1) they are held in a pledge account rather than a trading account, and 2) the government's claim to the collateral or investments is supported by the custodian's underlying records.  Securities are considered to be held in the organization's name provided the custodian's underlying records adequately establish the organization's interest in the securities.</t>
    </r>
  </si>
  <si>
    <r>
      <t xml:space="preserve">Enter the </t>
    </r>
    <r>
      <rPr>
        <b/>
        <sz val="12"/>
        <color indexed="8"/>
        <rFont val="Times New Roman"/>
        <family val="1"/>
      </rPr>
      <t xml:space="preserve">general ledger account number </t>
    </r>
    <r>
      <rPr>
        <sz val="12"/>
        <color indexed="8"/>
        <rFont val="Times New Roman"/>
        <family val="1"/>
      </rPr>
      <t xml:space="preserve">(column A) and </t>
    </r>
    <r>
      <rPr>
        <b/>
        <sz val="12"/>
        <color indexed="8"/>
        <rFont val="Times New Roman"/>
        <family val="1"/>
      </rPr>
      <t>general ledger account name</t>
    </r>
    <r>
      <rPr>
        <sz val="12"/>
        <color indexed="8"/>
        <rFont val="Times New Roman"/>
        <family val="1"/>
      </rPr>
      <t xml:space="preserve"> (column B) for each general ledger account that includes footnote investments.</t>
    </r>
  </si>
  <si>
    <r>
      <t xml:space="preserve">Enter the </t>
    </r>
    <r>
      <rPr>
        <b/>
        <sz val="12"/>
        <color indexed="8"/>
        <rFont val="Times New Roman"/>
        <family val="1"/>
      </rPr>
      <t>general ledger account number, general ledger account name</t>
    </r>
    <r>
      <rPr>
        <sz val="12"/>
        <color indexed="8"/>
        <rFont val="Times New Roman"/>
        <family val="1"/>
      </rPr>
      <t xml:space="preserve"> and </t>
    </r>
    <r>
      <rPr>
        <b/>
        <sz val="12"/>
        <color indexed="8"/>
        <rFont val="Times New Roman"/>
        <family val="1"/>
      </rPr>
      <t>amounts</t>
    </r>
    <r>
      <rPr>
        <sz val="12"/>
        <color indexed="8"/>
        <rFont val="Times New Roman"/>
        <family val="1"/>
      </rPr>
      <t xml:space="preserve"> for items reported as investments on the general ledger or financial statements, but which are included in the deposits footnote (e.g., nonnegotiable CD's with maturities greater than 3 months).  Subtotal these amounts.</t>
    </r>
  </si>
  <si>
    <r>
      <t xml:space="preserve">Enter the </t>
    </r>
    <r>
      <rPr>
        <b/>
        <sz val="12"/>
        <color indexed="8"/>
        <rFont val="Times New Roman"/>
        <family val="1"/>
      </rPr>
      <t>general ledger account number, general ledger account name</t>
    </r>
    <r>
      <rPr>
        <sz val="12"/>
        <color indexed="8"/>
        <rFont val="Times New Roman"/>
        <family val="1"/>
      </rPr>
      <t xml:space="preserve"> and </t>
    </r>
    <r>
      <rPr>
        <b/>
        <sz val="12"/>
        <color indexed="8"/>
        <rFont val="Times New Roman"/>
        <family val="1"/>
      </rPr>
      <t>amounts</t>
    </r>
    <r>
      <rPr>
        <sz val="12"/>
        <color indexed="8"/>
        <rFont val="Times New Roman"/>
        <family val="1"/>
      </rPr>
      <t xml:space="preserve"> for items reported as cash equivalents on the general ledger or financial statements, but which are included in the investment footnote (e.g., LGIP, commercial paper, money market funds, banker's acceptances).  Subtotal these amounts.</t>
    </r>
  </si>
  <si>
    <r>
      <t xml:space="preserve">In accordance with the RISK MATRIX, complete the following additional information, </t>
    </r>
    <r>
      <rPr>
        <b/>
        <sz val="12"/>
        <color indexed="8"/>
        <rFont val="Times New Roman"/>
        <family val="1"/>
      </rPr>
      <t>as applicable</t>
    </r>
    <r>
      <rPr>
        <sz val="12"/>
        <color indexed="8"/>
        <rFont val="Times New Roman"/>
        <family val="1"/>
      </rPr>
      <t>, for each instrument listed.</t>
    </r>
  </si>
  <si>
    <t xml:space="preserve">Each general ledger cash equivalents and investment account's investment items are to be detailed by (a) general ledger account, (b) by financial institution/broker/dealer and (c) by investment type.  Investment types must be provided at a sufficiently detailed level such that risk exposures unique to specific investment types can be addressed. </t>
  </si>
  <si>
    <t>Agency</t>
  </si>
  <si>
    <t>Entity</t>
  </si>
  <si>
    <t>Period</t>
  </si>
  <si>
    <t>Year</t>
  </si>
  <si>
    <t>C1</t>
  </si>
  <si>
    <t>C2</t>
  </si>
  <si>
    <t>C3</t>
  </si>
  <si>
    <t>C4</t>
  </si>
  <si>
    <t>Scenario</t>
  </si>
  <si>
    <t>Actual</t>
  </si>
  <si>
    <t>View</t>
  </si>
  <si>
    <t>Secretary of State</t>
  </si>
  <si>
    <t>Subsequent Injury Trust Fund</t>
  </si>
  <si>
    <t>Northwest Georgia RESA</t>
  </si>
  <si>
    <t>North Georgia RESA</t>
  </si>
  <si>
    <t>Pioneer RESA</t>
  </si>
  <si>
    <t>Metropolitan RESA</t>
  </si>
  <si>
    <t>Northeast Georgia RESA</t>
  </si>
  <si>
    <t>West Georgia RESA</t>
  </si>
  <si>
    <t>Griffin RESA</t>
  </si>
  <si>
    <t>Middle Georgia RESA</t>
  </si>
  <si>
    <t>Oconee RESA</t>
  </si>
  <si>
    <t>Central Savannah River Area RESA</t>
  </si>
  <si>
    <t>Chattahoochee-Flint RESA</t>
  </si>
  <si>
    <t>Heart of Georgia RESA</t>
  </si>
  <si>
    <t>First District RESA</t>
  </si>
  <si>
    <t>Southwest Georgia RESA</t>
  </si>
  <si>
    <t>Coastal Plains RESA</t>
  </si>
  <si>
    <t>Okefenokee RESA</t>
  </si>
  <si>
    <t>North Georgia Mountains Authority</t>
  </si>
  <si>
    <t>Lake Lanier Islands Development Authority</t>
  </si>
  <si>
    <t>Sapelo Island Heritage Authority</t>
  </si>
  <si>
    <t>Regional Transportation Authority, Georgia</t>
  </si>
  <si>
    <t>OneGeorgia Authority</t>
  </si>
  <si>
    <t>Not Exposed to Custodial Credit Risk</t>
  </si>
  <si>
    <t>Exposed to Custodial Credit Risk</t>
  </si>
  <si>
    <r>
      <t xml:space="preserve">Held by the counterparty's trust department or agent </t>
    </r>
    <r>
      <rPr>
        <u/>
        <sz val="12"/>
        <rFont val="Times New Roman"/>
        <family val="1"/>
      </rPr>
      <t>in the organization's name</t>
    </r>
  </si>
  <si>
    <r>
      <t xml:space="preserve">Held by the counterparty </t>
    </r>
    <r>
      <rPr>
        <u/>
        <sz val="12"/>
        <rFont val="Times New Roman"/>
        <family val="1"/>
      </rPr>
      <t>(not</t>
    </r>
    <r>
      <rPr>
        <sz val="12"/>
        <rFont val="Times New Roman"/>
        <family val="1"/>
      </rPr>
      <t xml:space="preserve"> its trust department or agent)</t>
    </r>
  </si>
  <si>
    <r>
      <t xml:space="preserve">Held by the counterparty's trust department or agent, </t>
    </r>
    <r>
      <rPr>
        <u/>
        <sz val="12"/>
        <rFont val="Times New Roman"/>
        <family val="1"/>
      </rPr>
      <t>but not in the organization's name</t>
    </r>
  </si>
  <si>
    <t xml:space="preserve">   ►</t>
  </si>
  <si>
    <t>Section B.</t>
  </si>
  <si>
    <t>Section  A.</t>
  </si>
  <si>
    <t>Section C.</t>
  </si>
  <si>
    <t>ANALYSIS OF FOOTNOTE INVESTMENTS INCLUDED ON GENERAL LEDGER OR FINANCIAL STATEMENTS</t>
  </si>
  <si>
    <t>A.</t>
  </si>
  <si>
    <t>B.</t>
  </si>
  <si>
    <t>C.</t>
  </si>
  <si>
    <t>ANALYSIS OF FOOTNOTE INVESTMENTS INCLUDED ON THE GENERAL LEDGER OR FINANCIAL STATEMENTS</t>
  </si>
  <si>
    <t>D.</t>
  </si>
  <si>
    <t>"TOTAL FOOTNOTE INVESTMENTS" - From Section C (Invest Analysis Tab)</t>
  </si>
  <si>
    <t>Technical College System of Georgia</t>
  </si>
  <si>
    <t>Employees' Retirement System of Georgia</t>
  </si>
  <si>
    <t>Description 1</t>
  </si>
  <si>
    <t>Description 2</t>
  </si>
  <si>
    <t>AMOUNT</t>
  </si>
  <si>
    <t>Form Recd</t>
  </si>
  <si>
    <t>Form is NA</t>
  </si>
  <si>
    <t>Form_InvstRecon</t>
  </si>
  <si>
    <t>Form_InvstAnalysis</t>
  </si>
  <si>
    <t>NA_InvstAnalysis</t>
  </si>
  <si>
    <t>NA_InvstRecon</t>
  </si>
  <si>
    <t>Analysis</t>
  </si>
  <si>
    <t>Reconciliation</t>
  </si>
  <si>
    <t>Stone Mountain Memorial Association</t>
  </si>
  <si>
    <t>Georgia Military College</t>
  </si>
  <si>
    <t>Georgia Economic Development Foundation, Inc.</t>
  </si>
  <si>
    <t>Georgia Tourism Foundation</t>
  </si>
  <si>
    <t>40200_EWAdj</t>
  </si>
  <si>
    <t>40400_EWAdj</t>
  </si>
  <si>
    <t>40600_EWAdj</t>
  </si>
  <si>
    <t>40700_EWAdj</t>
  </si>
  <si>
    <t>40800_EWAdj</t>
  </si>
  <si>
    <t>40900_EWAdj</t>
  </si>
  <si>
    <t>41000_EWAdj</t>
  </si>
  <si>
    <t>41100_EWAdj</t>
  </si>
  <si>
    <t>41400_EWAdj</t>
  </si>
  <si>
    <t>41500_30400</t>
  </si>
  <si>
    <t>41600_80106</t>
  </si>
  <si>
    <t>41800_EWAdj</t>
  </si>
  <si>
    <t>41900_EWAdj</t>
  </si>
  <si>
    <t>42000_EWAdj</t>
  </si>
  <si>
    <t>42200_EWAdj</t>
  </si>
  <si>
    <t>42700_EWAdj</t>
  </si>
  <si>
    <t>42800_EWAdj</t>
  </si>
  <si>
    <t>42900_EWAdj</t>
  </si>
  <si>
    <t>43100_EWAdj</t>
  </si>
  <si>
    <t>43200_EWAdj</t>
  </si>
  <si>
    <t>43400_EWAdj</t>
  </si>
  <si>
    <t>43600_EWAdj</t>
  </si>
  <si>
    <t>43800_EWAdj</t>
  </si>
  <si>
    <t>44000_30200</t>
  </si>
  <si>
    <t>44100_EWAdj</t>
  </si>
  <si>
    <t>44200_EWAdj</t>
  </si>
  <si>
    <t>44400_EWAdj</t>
  </si>
  <si>
    <t>46100_EWAdj</t>
  </si>
  <si>
    <t>46200_EWAdj</t>
  </si>
  <si>
    <t>46500_EWAdj</t>
  </si>
  <si>
    <t>46600_EWAdj</t>
  </si>
  <si>
    <t>46700_EWAdj</t>
  </si>
  <si>
    <t>46900_EWAdj</t>
  </si>
  <si>
    <t>47000_EWAdj</t>
  </si>
  <si>
    <t>47100_EWAdj</t>
  </si>
  <si>
    <t>47200_30400</t>
  </si>
  <si>
    <t>47400_EWAdj</t>
  </si>
  <si>
    <t>47500_EWAdj</t>
  </si>
  <si>
    <t>47600_EWAdj</t>
  </si>
  <si>
    <t>47800_EWAdj</t>
  </si>
  <si>
    <t>48200_80106</t>
  </si>
  <si>
    <t>48400_EWAdj</t>
  </si>
  <si>
    <t>48600_EWAdj</t>
  </si>
  <si>
    <t>48800_EWAdj</t>
  </si>
  <si>
    <t>48900_80301</t>
  </si>
  <si>
    <t>49000_EWAdj</t>
  </si>
  <si>
    <t>49200_EWAdj</t>
  </si>
  <si>
    <t>85040_90001</t>
  </si>
  <si>
    <t>85240_90001</t>
  </si>
  <si>
    <t>85440_90001</t>
  </si>
  <si>
    <t>85640_90001</t>
  </si>
  <si>
    <t>85840_90001</t>
  </si>
  <si>
    <t>86040_90001</t>
  </si>
  <si>
    <t>86240_90001</t>
  </si>
  <si>
    <t>86440_90001</t>
  </si>
  <si>
    <t>86640_90001</t>
  </si>
  <si>
    <t>86840_90001</t>
  </si>
  <si>
    <t>87240_90001</t>
  </si>
  <si>
    <t>87640_90001</t>
  </si>
  <si>
    <t>88040_90001</t>
  </si>
  <si>
    <t>88440_90001</t>
  </si>
  <si>
    <t>88640_90001</t>
  </si>
  <si>
    <t>88840_90001</t>
  </si>
  <si>
    <t>91100_90001</t>
  </si>
  <si>
    <t>46200_90231</t>
  </si>
  <si>
    <t>91300_90001</t>
  </si>
  <si>
    <t>91400_90001</t>
  </si>
  <si>
    <t>91600_90001</t>
  </si>
  <si>
    <t>91700_90001</t>
  </si>
  <si>
    <t>92100_40001</t>
  </si>
  <si>
    <t>92200_90001</t>
  </si>
  <si>
    <t>92300_90001</t>
  </si>
  <si>
    <t>92600_90001</t>
  </si>
  <si>
    <t>92800_90001</t>
  </si>
  <si>
    <t>94700_80106</t>
  </si>
  <si>
    <t>94800_80106</t>
  </si>
  <si>
    <t>94900_80106</t>
  </si>
  <si>
    <t>95000_80106</t>
  </si>
  <si>
    <t>95100_80106</t>
  </si>
  <si>
    <t>95500_90001</t>
  </si>
  <si>
    <t>96900_30001</t>
  </si>
  <si>
    <t>97300_90001</t>
  </si>
  <si>
    <t>97600_90001</t>
  </si>
  <si>
    <t>97700_90001</t>
  </si>
  <si>
    <t>98000_40001</t>
  </si>
  <si>
    <t>98100_90001</t>
  </si>
  <si>
    <t>99100_80106</t>
  </si>
  <si>
    <r>
      <t xml:space="preserve">Organizations maintain currency on hand, demand deposits, time and savings deposits, short-term and long-term investments and securities in various accounts on their </t>
    </r>
    <r>
      <rPr>
        <u/>
        <sz val="12"/>
        <color indexed="8"/>
        <rFont val="Times New Roman"/>
        <family val="1"/>
      </rPr>
      <t>financial accounting systems</t>
    </r>
    <r>
      <rPr>
        <sz val="12"/>
        <color indexed="8"/>
        <rFont val="Times New Roman"/>
        <family val="1"/>
      </rPr>
      <t xml:space="preserve">.  These accounts are compiled as "Cash and Cash Equivalents" and "Investments" in financial statement preparation.  For State level financial statement reporting purposes, </t>
    </r>
    <r>
      <rPr>
        <b/>
        <sz val="12"/>
        <color indexed="8"/>
        <rFont val="Times New Roman"/>
        <family val="1"/>
      </rPr>
      <t>"investments"</t>
    </r>
    <r>
      <rPr>
        <sz val="12"/>
        <color indexed="8"/>
        <rFont val="Times New Roman"/>
        <family val="1"/>
      </rPr>
      <t xml:space="preserve"> are defined as those financial instruments with terms in excess of three months from the date of purchase and certain other securities held for the production of revenue.  For State of Georgia </t>
    </r>
    <r>
      <rPr>
        <i/>
        <sz val="12"/>
        <color indexed="8"/>
        <rFont val="Times New Roman"/>
        <family val="1"/>
      </rPr>
      <t>Accounting Procedures Manual</t>
    </r>
    <r>
      <rPr>
        <sz val="12"/>
        <color indexed="8"/>
        <rFont val="Times New Roman"/>
        <family val="1"/>
      </rPr>
      <t xml:space="preserve"> users, investments are accounted for within the account range 107500 through 119000.</t>
    </r>
  </si>
  <si>
    <r>
      <t xml:space="preserve">Deposit and investment </t>
    </r>
    <r>
      <rPr>
        <u/>
        <sz val="12"/>
        <color indexed="8"/>
        <rFont val="Times New Roman"/>
        <family val="1"/>
      </rPr>
      <t>note disclosures</t>
    </r>
    <r>
      <rPr>
        <sz val="12"/>
        <color indexed="8"/>
        <rFont val="Times New Roman"/>
        <family val="1"/>
      </rPr>
      <t xml:space="preserve"> are required by GASB Statement No. 3, </t>
    </r>
    <r>
      <rPr>
        <i/>
        <sz val="12"/>
        <color indexed="8"/>
        <rFont val="Times New Roman"/>
        <family val="1"/>
      </rPr>
      <t>Deposits with Financial Institutions, Investments (including Repurchase Agreements), and Reverse Repurchase Agreements</t>
    </r>
    <r>
      <rPr>
        <sz val="12"/>
        <color indexed="8"/>
        <rFont val="Times New Roman"/>
        <family val="1"/>
      </rPr>
      <t xml:space="preserve">, as amended by GASB Statement No. 40, </t>
    </r>
    <r>
      <rPr>
        <i/>
        <sz val="12"/>
        <color indexed="8"/>
        <rFont val="Times New Roman"/>
        <family val="1"/>
      </rPr>
      <t>Deposit and Investment Risk Disclosures</t>
    </r>
    <r>
      <rPr>
        <sz val="12"/>
        <color indexed="8"/>
        <rFont val="Times New Roman"/>
        <family val="1"/>
      </rPr>
      <t xml:space="preserve">.  It is </t>
    </r>
    <r>
      <rPr>
        <u/>
        <sz val="12"/>
        <color indexed="8"/>
        <rFont val="Times New Roman"/>
        <family val="1"/>
      </rPr>
      <t>highly</t>
    </r>
    <r>
      <rPr>
        <sz val="12"/>
        <color indexed="8"/>
        <rFont val="Times New Roman"/>
        <family val="1"/>
      </rPr>
      <t xml:space="preserve"> recommended that any organization with investment holdings other than external investment pools obtain copies of these pronouncements as well as the GASB </t>
    </r>
    <r>
      <rPr>
        <i/>
        <sz val="12"/>
        <color indexed="8"/>
        <rFont val="Times New Roman"/>
        <family val="1"/>
      </rPr>
      <t>Comprehensive Implementation Guide - 2010.</t>
    </r>
    <r>
      <rPr>
        <sz val="12"/>
        <color indexed="8"/>
        <rFont val="Times New Roman"/>
        <family val="1"/>
      </rPr>
      <t xml:space="preserve">  These GASB publications can be obtained at www.gasb.org.  These statements require that certain information about holdings included on the financial statements be disclosed in the notes to those financial statements</t>
    </r>
  </si>
  <si>
    <t>"TOTAL FOOTNOTE INVESTMENTS" to Section D</t>
  </si>
  <si>
    <t>E-mail Address:</t>
  </si>
  <si>
    <t>40500_EWAdj</t>
  </si>
  <si>
    <r>
      <t xml:space="preserve">Balances on the general ledger or financial statements in cash equivalents and investment accounts (account range 106000 - 119000 for State of Georgia </t>
    </r>
    <r>
      <rPr>
        <i/>
        <sz val="12"/>
        <color indexed="8"/>
        <rFont val="Times New Roman"/>
        <family val="1"/>
      </rPr>
      <t>Accounting Procedures Manual</t>
    </r>
    <r>
      <rPr>
        <sz val="12"/>
        <color indexed="8"/>
        <rFont val="Times New Roman"/>
        <family val="1"/>
      </rPr>
      <t xml:space="preserve"> Chart of Accounts users) will have to be examined by organization personnel to determine whether such balances are reported in the deposit or the investment footnotes.  General ledger or financial statement cash equivalents and investments that are </t>
    </r>
    <r>
      <rPr>
        <b/>
        <sz val="12"/>
        <color indexed="8"/>
        <rFont val="Times New Roman"/>
        <family val="1"/>
      </rPr>
      <t>deposits</t>
    </r>
    <r>
      <rPr>
        <sz val="12"/>
        <color indexed="8"/>
        <rFont val="Times New Roman"/>
        <family val="1"/>
      </rPr>
      <t xml:space="preserve"> should be included on XXX_</t>
    </r>
    <r>
      <rPr>
        <b/>
        <sz val="12"/>
        <color indexed="8"/>
        <rFont val="Times New Roman"/>
        <family val="1"/>
      </rPr>
      <t>FormXX_Cash and Deposits.xls</t>
    </r>
    <r>
      <rPr>
        <sz val="12"/>
        <color indexed="8"/>
        <rFont val="Times New Roman"/>
        <family val="1"/>
      </rPr>
      <t xml:space="preserve">, general ledger or financial statement cash equivalents and investments that are </t>
    </r>
    <r>
      <rPr>
        <b/>
        <sz val="12"/>
        <color indexed="8"/>
        <rFont val="Times New Roman"/>
        <family val="1"/>
      </rPr>
      <t>footnote investments</t>
    </r>
    <r>
      <rPr>
        <sz val="12"/>
        <color indexed="8"/>
        <rFont val="Times New Roman"/>
        <family val="1"/>
      </rPr>
      <t xml:space="preserve"> should be included on</t>
    </r>
    <r>
      <rPr>
        <b/>
        <sz val="12"/>
        <color indexed="8"/>
        <rFont val="Times New Roman"/>
        <family val="1"/>
      </rPr>
      <t xml:space="preserve"> XXX_FormXX_Investments.xls</t>
    </r>
    <r>
      <rPr>
        <sz val="12"/>
        <color indexed="8"/>
        <rFont val="Times New Roman"/>
        <family val="1"/>
      </rPr>
      <t>.</t>
    </r>
  </si>
  <si>
    <t>Training</t>
  </si>
  <si>
    <t xml:space="preserve">Select the entity code number from the drop-down menu (organization name should be automatically populated), enter preparer's name, telephone number, and email address at the top of the form.  </t>
  </si>
  <si>
    <t xml:space="preserve">Training related to this form is available online through the Carl Vinson Institute of Government which is located on the SAO website as:  </t>
  </si>
  <si>
    <t>Governor's Defense Initiative, Inc.</t>
  </si>
  <si>
    <t>http://sao.georgia.gov/year-end-training-videos</t>
  </si>
  <si>
    <t>Agency info will automatically update</t>
  </si>
  <si>
    <t>once agency info is entered in the</t>
  </si>
  <si>
    <t>Select Agency Number</t>
  </si>
  <si>
    <t>from Drop Down Box</t>
  </si>
  <si>
    <r>
      <t xml:space="preserve">Obligations of the U.S. government agencies </t>
    </r>
    <r>
      <rPr>
        <i/>
        <u/>
        <sz val="12"/>
        <rFont val="Times New Roman"/>
        <family val="1"/>
      </rPr>
      <t>explicitly</t>
    </r>
    <r>
      <rPr>
        <u/>
        <sz val="12"/>
        <rFont val="Times New Roman"/>
        <family val="1"/>
      </rPr>
      <t xml:space="preserve"> guaranteed by the U.S. government</t>
    </r>
    <r>
      <rPr>
        <sz val="12"/>
        <rFont val="Times New Roman"/>
        <family val="1"/>
      </rPr>
      <t xml:space="preserve"> - e.g.:</t>
    </r>
  </si>
  <si>
    <r>
      <t xml:space="preserve">Obligations of the U.S. government agencies only </t>
    </r>
    <r>
      <rPr>
        <i/>
        <u/>
        <sz val="12"/>
        <rFont val="Times New Roman"/>
        <family val="1"/>
      </rPr>
      <t>implicitly</t>
    </r>
    <r>
      <rPr>
        <u/>
        <sz val="12"/>
        <rFont val="Times New Roman"/>
        <family val="1"/>
      </rPr>
      <t xml:space="preserve"> guaranteed by the U.S. government</t>
    </r>
    <r>
      <rPr>
        <sz val="12"/>
        <rFont val="Times New Roman"/>
        <family val="1"/>
      </rPr>
      <t xml:space="preserve"> - e.g.:</t>
    </r>
  </si>
  <si>
    <t>All entity info will automatically update</t>
  </si>
  <si>
    <r>
      <t>ADD</t>
    </r>
    <r>
      <rPr>
        <sz val="10"/>
        <color indexed="8"/>
        <rFont val="Times New Roman"/>
        <family val="1"/>
      </rPr>
      <t xml:space="preserve"> amounts reported as </t>
    </r>
    <r>
      <rPr>
        <b/>
        <sz val="10"/>
        <color indexed="8"/>
        <rFont val="Times New Roman"/>
        <family val="1"/>
      </rPr>
      <t>investments</t>
    </r>
    <r>
      <rPr>
        <sz val="10"/>
        <color indexed="8"/>
        <rFont val="Times New Roman"/>
        <family val="1"/>
      </rPr>
      <t xml:space="preserve"> on the general ledger or financial statements but which are included in the </t>
    </r>
    <r>
      <rPr>
        <b/>
        <sz val="10"/>
        <color indexed="8"/>
        <rFont val="Times New Roman"/>
        <family val="1"/>
      </rPr>
      <t>deposits</t>
    </r>
    <r>
      <rPr>
        <sz val="10"/>
        <color indexed="8"/>
        <rFont val="Times New Roman"/>
        <family val="1"/>
      </rPr>
      <t xml:space="preserve"> footnote (e.g., nonnegotiable CD's with maturities greater than 3 months).</t>
    </r>
  </si>
  <si>
    <t>Provide a description of any other reconciling items.</t>
  </si>
  <si>
    <r>
      <t xml:space="preserve">It should be noted that for holdings in </t>
    </r>
    <r>
      <rPr>
        <u/>
        <sz val="12"/>
        <color indexed="8"/>
        <rFont val="Times New Roman"/>
        <family val="1"/>
      </rPr>
      <t>repurchase agreements</t>
    </r>
    <r>
      <rPr>
        <sz val="12"/>
        <color indexed="8"/>
        <rFont val="Times New Roman"/>
        <family val="1"/>
      </rPr>
      <t xml:space="preserve">, the credit ratings of the underlying debt securities offered by the borrower (issuing institution) as collateral must be disclosed.  As indicated above, this does not apply if the securities underlying the repurchase agreements are </t>
    </r>
    <r>
      <rPr>
        <i/>
        <sz val="12"/>
        <color indexed="8"/>
        <rFont val="Times New Roman"/>
        <family val="1"/>
      </rPr>
      <t>explicitly</t>
    </r>
    <r>
      <rPr>
        <sz val="12"/>
        <color indexed="8"/>
        <rFont val="Times New Roman"/>
        <family val="1"/>
      </rPr>
      <t xml:space="preserve"> guaranteed obligations of the U.S. government, however the underlying securities must be identified in Section C.</t>
    </r>
  </si>
  <si>
    <r>
      <t xml:space="preserve">Investment valuation is to be determined in accordance with GASB Statement No. 31, </t>
    </r>
    <r>
      <rPr>
        <i/>
        <sz val="12"/>
        <color indexed="8"/>
        <rFont val="Times New Roman"/>
        <family val="1"/>
      </rPr>
      <t>Accounting and Financial Reporting for Certain Investments and for External Investment Pools</t>
    </r>
    <r>
      <rPr>
        <sz val="12"/>
        <color indexed="8"/>
        <rFont val="Times New Roman"/>
        <family val="1"/>
      </rPr>
      <t xml:space="preserve">, as amended.  </t>
    </r>
    <r>
      <rPr>
        <b/>
        <sz val="12"/>
        <color indexed="8"/>
        <rFont val="Times New Roman"/>
        <family val="1"/>
      </rPr>
      <t>Generally, governmental organizations should report investments at fair value</t>
    </r>
    <r>
      <rPr>
        <i/>
        <sz val="12"/>
        <color indexed="8"/>
        <rFont val="Times New Roman"/>
        <family val="1"/>
      </rPr>
      <t>.</t>
    </r>
    <r>
      <rPr>
        <sz val="12"/>
        <color indexed="8"/>
        <rFont val="Times New Roman"/>
        <family val="1"/>
      </rPr>
      <t xml:space="preserve">  Fair value is the amount at which an investment could be exchanged in a current transaction between willing parties, other than in a forced liquidation sale. Fair value is generally determined using quoted market prices. If fair value is determined using some other method, a description of that method must be provided.</t>
    </r>
  </si>
  <si>
    <t>1.</t>
  </si>
  <si>
    <t>If the fair value of any investments were determined using a method other than quoted market prices, indicate the investments and provide a description of the method used to determine fair value below:</t>
  </si>
  <si>
    <t>Description of method used:</t>
  </si>
  <si>
    <t>Investment Name:</t>
  </si>
  <si>
    <t>2.</t>
  </si>
  <si>
    <t>3.</t>
  </si>
  <si>
    <t>Long-term</t>
  </si>
  <si>
    <t>Short-term</t>
  </si>
  <si>
    <t>For example, the investments underlying "investment accounts", "repurchase agreements", "municipal, U.S. and foreign government obligations", "corporate bonds/notes/debentures", "stocks", "asset-backed securities" and "mortgage investments" will have to be detailed by the specific type of investment instruments underlying these generic groupings.  See RISK MATRIX for samples of appropriate investment types.</t>
  </si>
  <si>
    <t xml:space="preserve">Generally accepted accounting principles (GAAP) specify requirements for reporting financial statement balances and note disclosures for the State's Investments and Investment Risk exposure. </t>
  </si>
  <si>
    <t>INVESTMENT ANALYSIS</t>
  </si>
  <si>
    <t>INVESTMENT RECONCILIATION</t>
  </si>
  <si>
    <r>
      <t>DELETE</t>
    </r>
    <r>
      <rPr>
        <sz val="10"/>
        <color indexed="8"/>
        <rFont val="Times New Roman"/>
        <family val="1"/>
      </rPr>
      <t xml:space="preserve"> amounts reported as </t>
    </r>
    <r>
      <rPr>
        <b/>
        <sz val="10"/>
        <color indexed="8"/>
        <rFont val="Times New Roman"/>
        <family val="1"/>
      </rPr>
      <t>cash equivalents</t>
    </r>
    <r>
      <rPr>
        <sz val="10"/>
        <color indexed="8"/>
        <rFont val="Times New Roman"/>
        <family val="1"/>
      </rPr>
      <t xml:space="preserve"> on the general ledger or financial statements, but which are included in the </t>
    </r>
    <r>
      <rPr>
        <b/>
        <sz val="10"/>
        <color indexed="8"/>
        <rFont val="Times New Roman"/>
        <family val="1"/>
      </rPr>
      <t>investment</t>
    </r>
    <r>
      <rPr>
        <sz val="10"/>
        <color indexed="8"/>
        <rFont val="Times New Roman"/>
        <family val="1"/>
      </rPr>
      <t xml:space="preserve"> footnote (e.g., LGIP, GEAP, commercial paper, money market funds, banker's acceptances).  </t>
    </r>
    <r>
      <rPr>
        <i/>
        <sz val="10"/>
        <color indexed="8"/>
        <rFont val="Times New Roman"/>
        <family val="1"/>
      </rPr>
      <t>The total of the items listed here, plus OST holdings, should equal the total of the items listed as Reconciling Item (1) on XXX_FormXX_Cash &amp; Deposits.xls, Part "B", Cash Recon.</t>
    </r>
  </si>
  <si>
    <t>40300_20000</t>
  </si>
  <si>
    <t>47700_EWAdj</t>
  </si>
  <si>
    <t>51270_80106</t>
  </si>
  <si>
    <t>90000_40001</t>
  </si>
  <si>
    <t>910Au_90001</t>
  </si>
  <si>
    <t>910Fd_90001</t>
  </si>
  <si>
    <t>Georgia Foundation for Public Education</t>
  </si>
  <si>
    <t>Level 1</t>
  </si>
  <si>
    <t>Level 2</t>
  </si>
  <si>
    <t>Level 3</t>
  </si>
  <si>
    <t>Other (specify)</t>
  </si>
  <si>
    <t>Level 1: Unadjusted quoted prices for identical assets or liabilities in active markets that a government can access at the measurement date.</t>
  </si>
  <si>
    <t>Level 2: Inputs, other than quoted prices included within Level 1 that are observable for an asset or liability, either directly or indirectly.</t>
  </si>
  <si>
    <t>Level 3: Unobservable inputs for an asset or liability</t>
  </si>
  <si>
    <t>Other: if alternative method was used, please specify the name of the method</t>
  </si>
  <si>
    <t>Net Asset Value</t>
  </si>
  <si>
    <r>
      <t xml:space="preserve">Select the </t>
    </r>
    <r>
      <rPr>
        <b/>
        <sz val="12"/>
        <color indexed="8"/>
        <rFont val="Times New Roman"/>
        <family val="1"/>
      </rPr>
      <t>GASB Statement No. 72</t>
    </r>
    <r>
      <rPr>
        <sz val="12"/>
        <color indexed="8"/>
        <rFont val="Times New Roman"/>
        <family val="1"/>
      </rPr>
      <t xml:space="preserve"> Fair value level 1, level 2, level 3, net asset value or other value each investment is measured with. See descriptions below:</t>
    </r>
  </si>
  <si>
    <t>Judicial Branch</t>
  </si>
  <si>
    <t>43000_EWAdj</t>
  </si>
  <si>
    <t>44500_EWAdj</t>
  </si>
  <si>
    <t>44600_EWAdj</t>
  </si>
  <si>
    <t>45200_EWAdj</t>
  </si>
  <si>
    <t>CUSIP/Identifying No.</t>
  </si>
  <si>
    <t>General Ledger Amount</t>
  </si>
  <si>
    <t>GL Acct No.</t>
  </si>
  <si>
    <t>Days to Maturity</t>
  </si>
  <si>
    <t xml:space="preserve">Investments at Fair Value as of </t>
  </si>
  <si>
    <t>Amount per Investment Statement at 6/30 by Investment Maturity Period Remaining</t>
  </si>
  <si>
    <t>Financial Instit./Broker Acct No.</t>
  </si>
  <si>
    <t>Moody's Quality Rating</t>
  </si>
  <si>
    <t>S&amp;P's Quality Rating</t>
  </si>
  <si>
    <t>&lt;3 Months</t>
  </si>
  <si>
    <t>&gt; 10 Years</t>
  </si>
  <si>
    <t>Short or Long term Rating?</t>
  </si>
  <si>
    <t>Fair Value Measurement Level</t>
  </si>
  <si>
    <t>Other Measurement Level</t>
  </si>
  <si>
    <t>N</t>
  </si>
  <si>
    <t>R</t>
  </si>
  <si>
    <t>S</t>
  </si>
  <si>
    <t>T</t>
  </si>
  <si>
    <t>U</t>
  </si>
  <si>
    <t xml:space="preserve"> GL Account Name</t>
  </si>
  <si>
    <t>Investment Type</t>
  </si>
  <si>
    <r>
      <t xml:space="preserve">Enter the organization's </t>
    </r>
    <r>
      <rPr>
        <b/>
        <sz val="12"/>
        <color indexed="8"/>
        <rFont val="Times New Roman"/>
        <family val="1"/>
      </rPr>
      <t>CUSIP or other identifying number</t>
    </r>
    <r>
      <rPr>
        <sz val="12"/>
        <color indexed="8"/>
        <rFont val="Times New Roman"/>
        <family val="1"/>
      </rPr>
      <t xml:space="preserve"> (column E) for each instrument or investment type included in column D.</t>
    </r>
  </si>
  <si>
    <r>
      <t xml:space="preserve">Enter the </t>
    </r>
    <r>
      <rPr>
        <b/>
        <sz val="12"/>
        <rFont val="Times New Roman"/>
        <family val="1"/>
      </rPr>
      <t>general ledger balance</t>
    </r>
    <r>
      <rPr>
        <sz val="12"/>
        <rFont val="Times New Roman"/>
        <family val="1"/>
      </rPr>
      <t xml:space="preserve"> (column F) for each instrument or investment type.</t>
    </r>
  </si>
  <si>
    <r>
      <t xml:space="preserve">Enter the </t>
    </r>
    <r>
      <rPr>
        <b/>
        <sz val="12"/>
        <rFont val="Times New Roman"/>
        <family val="1"/>
      </rPr>
      <t xml:space="preserve">Fair Value at 6/30 </t>
    </r>
    <r>
      <rPr>
        <sz val="12"/>
        <rFont val="Times New Roman"/>
        <family val="1"/>
      </rPr>
      <t>(column G) per financial institution/broker/dealer statement or other source for each instrument or investment type.</t>
    </r>
  </si>
  <si>
    <r>
      <rPr>
        <sz val="12"/>
        <color indexed="8"/>
        <rFont val="Times New Roman"/>
        <family val="1"/>
      </rPr>
      <t xml:space="preserve">Enter the </t>
    </r>
    <r>
      <rPr>
        <b/>
        <sz val="12"/>
        <color indexed="8"/>
        <rFont val="Times New Roman"/>
        <family val="1"/>
      </rPr>
      <t>Financial Institution/Broker/Dealer Name</t>
    </r>
    <r>
      <rPr>
        <sz val="12"/>
        <color indexed="8"/>
        <rFont val="Times New Roman"/>
        <family val="1"/>
      </rPr>
      <t xml:space="preserve"> (column C) for each institution/organization in which footnote investment instruments are held within the account in column A.</t>
    </r>
  </si>
  <si>
    <t>FAIR VALUE LEVEL DISCLOSURES</t>
  </si>
  <si>
    <t>GL Account Number</t>
  </si>
  <si>
    <t>Trade Country Name</t>
  </si>
  <si>
    <t>Asset Class/Type</t>
  </si>
  <si>
    <t>Investment Manager Name</t>
  </si>
  <si>
    <t>Base Cost</t>
  </si>
  <si>
    <t>Fair value using quoted market prices?</t>
  </si>
  <si>
    <t>Amount subject to Foreign Currency Risk</t>
  </si>
  <si>
    <t>FAIR VALUE MEASUREMENT LEVELS</t>
  </si>
  <si>
    <t>Bond Securities</t>
  </si>
  <si>
    <t>Sovereign Credit</t>
  </si>
  <si>
    <t>Supranational Obligations</t>
  </si>
  <si>
    <t>Mortgage Backed Securities</t>
  </si>
  <si>
    <t>Real Estate Investments</t>
  </si>
  <si>
    <t>US Treasuries</t>
  </si>
  <si>
    <t>Fitch</t>
  </si>
  <si>
    <t>V</t>
  </si>
  <si>
    <t>International Government Obligations</t>
  </si>
  <si>
    <t>Mutual Funds Debt</t>
  </si>
  <si>
    <t>Mutual Funds Equities</t>
  </si>
  <si>
    <t>US Agencies-Not Guaranteed</t>
  </si>
  <si>
    <t>US Agencies-Guaranteed</t>
  </si>
  <si>
    <t>Asset-backed Securities-Domestic</t>
  </si>
  <si>
    <t>Asset-backed Securities-International</t>
  </si>
  <si>
    <t>Corporate Debt-Domestic</t>
  </si>
  <si>
    <t>Corporate Debt-International</t>
  </si>
  <si>
    <t>Equity Securities-Domestic</t>
  </si>
  <si>
    <t>Equity Securities-International</t>
  </si>
  <si>
    <t>EXPOSED to Custodial Credit Risk? (See Risk Matrix tab)</t>
  </si>
  <si>
    <t>Amount EXPOSED to Foreign Currency Risk? Enter details on Foreign Currency Detail tab</t>
  </si>
  <si>
    <t xml:space="preserve">For "Custodial Credit Risk" on Section C verify that either "Yes" or "No" is selected from the dropdown box in column "S" </t>
  </si>
  <si>
    <t xml:space="preserve">For "Foreign Currency Risk" on Section C verify that either "Yes" or "No" is selected from the dropdown box in column "T" </t>
  </si>
  <si>
    <t>For "Credit Quality Risk" on Section C verify that for each investment with a maturity period, a credit rating is also entered in column "O" through "Q"</t>
  </si>
  <si>
    <t>For "Fair Value Measurement Level" on Section C verify that an option from the drop down box is selected for each investment in column "U"</t>
  </si>
  <si>
    <t>If this tab is not applicable to your organization, please indicate by selecting 'Not Applicable' from the drop down box.</t>
  </si>
  <si>
    <t xml:space="preserve">   ►  GASB Statement 38, GASB Statement 40, GASB Statement 72, GASB Interpretation 3</t>
  </si>
  <si>
    <t>Investment-Non current U.S. Government Securities</t>
  </si>
  <si>
    <t>AAA</t>
  </si>
  <si>
    <t>BBB</t>
  </si>
  <si>
    <t>Investment-Current</t>
  </si>
  <si>
    <t>BB</t>
  </si>
  <si>
    <t>Aaa</t>
  </si>
  <si>
    <t xml:space="preserve">If this tab is not applicable to your organization, please indicate by selecting 'Not Applicable' from the drop down box. </t>
  </si>
  <si>
    <t>INVESTMENT ANALYSIS TAB</t>
  </si>
  <si>
    <t>Section C of the Investment Analysis tab is to be used to accumulate information regarding the various risk exposures of each investment type held and to provide assurance that disclosures for general ledger cash equivalents and investments are complete.  The form's format is designed to provide an analysis that is verifiable to the underlying accounting records from which the financial statements are prepared.</t>
  </si>
  <si>
    <t>This tab is a reconciliation of the footnote investment amounts on the Investment Analysis tab to general ledger account or financial statement balances.</t>
  </si>
  <si>
    <t>The instruments included on the RISK MATRIX are in no way all-inclusive and any other instruments held, but not listed, must be included on the Investment Analysis tab, Section C.  Each organization is responsible for determining which types of risk disclosures apply to a particular investment type in accordance with the GASB literature referenced herein.</t>
  </si>
  <si>
    <t>e.</t>
  </si>
  <si>
    <t>g.</t>
  </si>
  <si>
    <t>h.</t>
  </si>
  <si>
    <t>The contact information will automatically populate from the "Investment Analysis" tab.</t>
  </si>
  <si>
    <t xml:space="preserve">If this tab is not applicable to your organization, please indicate by selecting 'Not Applicable' from the drop down box.  </t>
  </si>
  <si>
    <t>The purpose of the Investment Reconciliation tab is to reconcile data reported on the form for footnote disclosure purposes to amounts reported on the organization's general ledger.</t>
  </si>
  <si>
    <t>Verify the amount from "total footnote investments" on the tab "Investment Analysis".</t>
  </si>
  <si>
    <r>
      <t xml:space="preserve">Enter the </t>
    </r>
    <r>
      <rPr>
        <b/>
        <sz val="12"/>
        <color indexed="8"/>
        <rFont val="Times New Roman"/>
        <family val="1"/>
      </rPr>
      <t>general ledger account number, general ledger account name</t>
    </r>
    <r>
      <rPr>
        <sz val="12"/>
        <color indexed="8"/>
        <rFont val="Times New Roman"/>
        <family val="1"/>
      </rPr>
      <t xml:space="preserve"> and</t>
    </r>
    <r>
      <rPr>
        <b/>
        <sz val="12"/>
        <color indexed="8"/>
        <rFont val="Times New Roman"/>
        <family val="1"/>
      </rPr>
      <t xml:space="preserve"> amounts</t>
    </r>
    <r>
      <rPr>
        <sz val="12"/>
        <color indexed="8"/>
        <rFont val="Times New Roman"/>
        <family val="1"/>
      </rPr>
      <t xml:space="preserve"> for any other items that are differences between Footnote Investments on the Investment Analysis tab and Total Investments on the general ledger or financial statements.  Provide description of the item(s) and justification as to why it is not included in items (A), (1) or (2), above.</t>
    </r>
  </si>
  <si>
    <t>For example, if an organization holds several FHLB discount notes, they can be combined on the Investment Analysis tab with the aggregate amounts within each maturity period range and within each credit rating being listed such that the totals for each risk category equal the total general ledger balance for this investment type.</t>
  </si>
  <si>
    <t>Debt or Equity</t>
  </si>
  <si>
    <t>RECONCILIATION OF FOREIGN CURRENCY DETAIL TO INVESTMENT ANALYSIS  TAB</t>
  </si>
  <si>
    <r>
      <t xml:space="preserve">Should be equal to the amount in column G on the Investment Analysis tab </t>
    </r>
    <r>
      <rPr>
        <b/>
        <u/>
        <sz val="10"/>
        <rFont val="Arial"/>
        <family val="2"/>
      </rPr>
      <t>if</t>
    </r>
    <r>
      <rPr>
        <sz val="10"/>
        <rFont val="Arial"/>
        <family val="2"/>
      </rPr>
      <t xml:space="preserve"> "yes" was selected in column T </t>
    </r>
  </si>
  <si>
    <t xml:space="preserve">For "Interest Rate Risk" on Section C verify that each investment has a maturity date entered (if applicable) in column H. If the investment has no maturity date, leave column H blank. </t>
  </si>
  <si>
    <t>Maturity Date (leave blank if not applicable)</t>
  </si>
  <si>
    <t>Canada</t>
  </si>
  <si>
    <t>Cash</t>
  </si>
  <si>
    <t>ABC Investments</t>
  </si>
  <si>
    <t>Equity</t>
  </si>
  <si>
    <t>yes</t>
  </si>
  <si>
    <t xml:space="preserve">The appropriate maturity period will automatically populate in columns I through N.   </t>
  </si>
  <si>
    <r>
      <t xml:space="preserve">Select yes or no from the drop down box if each investment is exposed to foreign currency risk. If yes is selected, complete the </t>
    </r>
    <r>
      <rPr>
        <b/>
        <sz val="12"/>
        <color indexed="8"/>
        <rFont val="Times New Roman"/>
        <family val="1"/>
      </rPr>
      <t>Foreign Currency Detail</t>
    </r>
    <r>
      <rPr>
        <sz val="12"/>
        <color indexed="8"/>
        <rFont val="Times New Roman"/>
        <family val="1"/>
      </rPr>
      <t xml:space="preserve"> tab providing the foreign currency including the amount, the amount payable in U.S. Dollars as of 6/30, and the type of investment (equity or debt).  Enter the U.S. dollar value of these instruments or investment types on the tab labeled Foreign Currency. A sample row is completed on the Foreign Currency Detail tab to assist you.</t>
    </r>
  </si>
  <si>
    <t>Certificates of Deposits</t>
  </si>
  <si>
    <t>Exchange Traded Funds-Debt</t>
  </si>
  <si>
    <t>Exchange Traded Funds-Equity</t>
  </si>
  <si>
    <t xml:space="preserve">External investment pools include the Office of the State Treasurer's (OST) LGIP - Georgia Fund 1 and Georgia Fund 1 Plus.  The existence of and balances in these accounts will be disclosed on Section D of XXX_FormXX_Cash and Deposits.xls.  With the exception of the dedicated portfolios held for the Georgia Environmental Finance Authority [GEFA], the Georgia State Financing and Investment Commission [GSFIC] and the Georgia Department of Community Health, holdings in specific instruments held by these investment pools are not identifiable to individual organizations  and the risk disclosures associated with the pools' investments will be prepared by SAO based on information provided by OST.  Organizations preparing complete organization financial statements will be provided information regarding OST pool holding disclosures by OST, subsequent to June 30.
</t>
  </si>
  <si>
    <t>Agriculture, Department of</t>
  </si>
  <si>
    <t>Administrative Services, Department of - GAA</t>
  </si>
  <si>
    <t>Administrative Services, Department of - General Fund</t>
  </si>
  <si>
    <t>40300_EWAdj</t>
  </si>
  <si>
    <t>Administrative Services, Department of - ISF</t>
  </si>
  <si>
    <t>40300_40001</t>
  </si>
  <si>
    <t>Public Health, Department of</t>
  </si>
  <si>
    <t>Banking and Finance, Department of</t>
  </si>
  <si>
    <t>Accounting Office, State</t>
  </si>
  <si>
    <t>Financing and Investment Commission, Georgia State</t>
  </si>
  <si>
    <t>Properties Commission, State</t>
  </si>
  <si>
    <t>Defense, Department of</t>
  </si>
  <si>
    <t>Education, Department of</t>
  </si>
  <si>
    <t>Governor, Office of the</t>
  </si>
  <si>
    <t>Human Services, Department of</t>
  </si>
  <si>
    <t>Community Affairs, Department of</t>
  </si>
  <si>
    <t>Economic Development, Department of</t>
  </si>
  <si>
    <t>Juvenile Court Judges, Council of</t>
  </si>
  <si>
    <t>Judicial Council of Georgia</t>
  </si>
  <si>
    <t>44000(ENT)</t>
  </si>
  <si>
    <t>Labor, Department of  - Enterprise Fund</t>
  </si>
  <si>
    <t>44000(GF)</t>
  </si>
  <si>
    <t>Labor, Department of - General Fund</t>
  </si>
  <si>
    <t>44000_EWAdj</t>
  </si>
  <si>
    <t>Behavioral Health and Developmental Disabilities, Department of</t>
  </si>
  <si>
    <t>Law, Department of</t>
  </si>
  <si>
    <t>General Assembly, Georgia</t>
  </si>
  <si>
    <t>House of Representatives, Georgia</t>
  </si>
  <si>
    <t>State Senate, Georgia</t>
  </si>
  <si>
    <t>Juvenile Justice, Department of</t>
  </si>
  <si>
    <t>Natural Resources, Department of</t>
  </si>
  <si>
    <t>Pardons and Paroles, State Board of</t>
  </si>
  <si>
    <t>Public Safety, Department of</t>
  </si>
  <si>
    <t>Corrections, Department of</t>
  </si>
  <si>
    <t>Early Care and Learning, Department of</t>
  </si>
  <si>
    <t>Investigation, Georgia Bureau of</t>
  </si>
  <si>
    <t>Regents of the University System of Georgia, Board of</t>
  </si>
  <si>
    <t>Revenue, Department of</t>
  </si>
  <si>
    <t>Driver Services, Department of</t>
  </si>
  <si>
    <t>Student Finance Commission, Georgia</t>
  </si>
  <si>
    <t>REACH Georgia Foundation, Inc.</t>
  </si>
  <si>
    <t>47610_90001</t>
  </si>
  <si>
    <t>Community Supervision, Department of</t>
  </si>
  <si>
    <t>Teachers Retirement System of Georgia</t>
  </si>
  <si>
    <t>Transportation, Department of - TIA</t>
  </si>
  <si>
    <t>48400_20200</t>
  </si>
  <si>
    <t>State Treasurer, Office of the</t>
  </si>
  <si>
    <t>Workers' Compensation, State Board of</t>
  </si>
  <si>
    <t>Augusta University Early Retirement Pension Plan</t>
  </si>
  <si>
    <t>Building Authority, Georgia</t>
  </si>
  <si>
    <t>Jekyll Island - State Park Authority</t>
  </si>
  <si>
    <t>Ports Authority, Georgia</t>
  </si>
  <si>
    <t>Student Finance Authority, Georgia</t>
  </si>
  <si>
    <t>Seed Development Commission, Georgia</t>
  </si>
  <si>
    <t>Correctional Industries Administration, Georgia</t>
  </si>
  <si>
    <t>Geo. L. Smith II Georgia World Congress Center Authority</t>
  </si>
  <si>
    <t>Housing and Finance Authority, Georgia</t>
  </si>
  <si>
    <t>Highway Authority, Georgia</t>
  </si>
  <si>
    <t>Z_92400_90001</t>
  </si>
  <si>
    <t>92700(ENT)</t>
  </si>
  <si>
    <t>Road and Tollway Authority, State - Enterprise Fund</t>
  </si>
  <si>
    <t>92700(GF)</t>
  </si>
  <si>
    <t>Road and Tollway Authority, State - General Fund</t>
  </si>
  <si>
    <t>92700_EWAdj</t>
  </si>
  <si>
    <t>Environmental Finance Authority, Georgia</t>
  </si>
  <si>
    <t>Z_46200_90311</t>
  </si>
  <si>
    <t>Judges of the Probate Courts Retirement Fund of Georgia</t>
  </si>
  <si>
    <t>Firefighters' Pension Fund, Georgia</t>
  </si>
  <si>
    <t>Sheriffs' Retirement Fund of Georgia</t>
  </si>
  <si>
    <t>Superior Court Clerks' Cooperative Authority, Georgia</t>
  </si>
  <si>
    <t>Rail Passenger Authority, Georgia</t>
  </si>
  <si>
    <t>Z_48400_90001</t>
  </si>
  <si>
    <t>96800_90001</t>
  </si>
  <si>
    <t>Higher Education Facilities Authority, Georgia</t>
  </si>
  <si>
    <t>Lottery Corporation, Georgia</t>
  </si>
  <si>
    <t>Public Telecommunications Commission, Georgia</t>
  </si>
  <si>
    <t>Technology Authority, Georgia</t>
  </si>
  <si>
    <t>Z_98700_20000</t>
  </si>
  <si>
    <t>Z_98900_20000</t>
  </si>
  <si>
    <t>Magistrates Retirement Fund of Georgia</t>
  </si>
  <si>
    <t>Jekyll Island Foundation, Inc.</t>
  </si>
  <si>
    <t>Z_99400_90001</t>
  </si>
  <si>
    <t>Natural Resources Foundation, Georgia</t>
  </si>
  <si>
    <t>Z_46200_20000</t>
  </si>
  <si>
    <t>Savannah – Georgia Convention Center Authority</t>
  </si>
  <si>
    <t>Asset Type</t>
  </si>
  <si>
    <t>HFM Desc</t>
  </si>
  <si>
    <t>INV_ASST_SEC_DOM</t>
  </si>
  <si>
    <t>INV_ASST_SEC_DOM_AAA</t>
  </si>
  <si>
    <t>INV_ASST_SEC_DOM_10_PLUS_AA</t>
  </si>
  <si>
    <t>INV_ASST_SEC_DOM_10_PLUS_A</t>
  </si>
  <si>
    <t>INV_ASST_SEC_DOM_10_PLUS_BBB</t>
  </si>
  <si>
    <t>INV_ASST_SEC_DOM_BB</t>
  </si>
  <si>
    <t>INV_ASST_SEC_DOM_ST_A_1</t>
  </si>
  <si>
    <t>INV_ASST_SEC_DOM_NR</t>
  </si>
  <si>
    <t>INV_ASST_SEC_INTL</t>
  </si>
  <si>
    <t>INV_BOND</t>
  </si>
  <si>
    <t>INV_CD</t>
  </si>
  <si>
    <t>INV_CORP_DOM</t>
  </si>
  <si>
    <t>INV_CORP_INTL</t>
  </si>
  <si>
    <t>INV_EQTY_DOM</t>
  </si>
  <si>
    <t>INV_EQTY_INTL</t>
  </si>
  <si>
    <t>INV_EXCHG_DEBT</t>
  </si>
  <si>
    <t>INV_EXCHG_EQTY</t>
  </si>
  <si>
    <t>INV_EXCHG_INTL_GO</t>
  </si>
  <si>
    <t>INV_MM_MUTFUNDS</t>
  </si>
  <si>
    <t>INV_MORTG_SEC</t>
  </si>
  <si>
    <t>INV_MUNI</t>
  </si>
  <si>
    <t>INV_MUTFUNDS_DEBT</t>
  </si>
  <si>
    <t>INV_MUTFUNDS_EQTY</t>
  </si>
  <si>
    <t>INV_RE_INV</t>
  </si>
  <si>
    <t>INV_REPO</t>
  </si>
  <si>
    <t>INV_SOVEREIGN_CR</t>
  </si>
  <si>
    <t>INV_SUPRANATIONAL</t>
  </si>
  <si>
    <t>INV_US_GUAR</t>
  </si>
  <si>
    <t>INV_US_NONGUAR</t>
  </si>
  <si>
    <t>INV_US_TREAS</t>
  </si>
  <si>
    <t>INV_FMV</t>
  </si>
  <si>
    <t>FMV</t>
  </si>
  <si>
    <t>MOODYS</t>
  </si>
  <si>
    <t>SIM-MOODYS</t>
  </si>
  <si>
    <t>S&amp;P</t>
  </si>
  <si>
    <t>SIM-S&amp;P</t>
  </si>
  <si>
    <t>FITCH</t>
  </si>
  <si>
    <t>SIM-FITCH</t>
  </si>
  <si>
    <t>Aa1</t>
  </si>
  <si>
    <t>AA+</t>
  </si>
  <si>
    <t>Aa2</t>
  </si>
  <si>
    <t>AA</t>
  </si>
  <si>
    <t>Aa3</t>
  </si>
  <si>
    <t>A1</t>
  </si>
  <si>
    <t>A+</t>
  </si>
  <si>
    <t>A2</t>
  </si>
  <si>
    <t>A3</t>
  </si>
  <si>
    <t>Baa1</t>
  </si>
  <si>
    <t>BBB+</t>
  </si>
  <si>
    <t>Baa2</t>
  </si>
  <si>
    <t>Baa3</t>
  </si>
  <si>
    <t>Ba1</t>
  </si>
  <si>
    <t>Ba2</t>
  </si>
  <si>
    <t>BB+</t>
  </si>
  <si>
    <t>NR</t>
  </si>
  <si>
    <t>Moody's</t>
  </si>
  <si>
    <t>Ba3</t>
  </si>
  <si>
    <t>B1</t>
  </si>
  <si>
    <t>B+</t>
  </si>
  <si>
    <t>B2</t>
  </si>
  <si>
    <t>B3</t>
  </si>
  <si>
    <t>Caa1</t>
  </si>
  <si>
    <t>CCC+</t>
  </si>
  <si>
    <t>CCC</t>
  </si>
  <si>
    <t>Caa2</t>
  </si>
  <si>
    <t>Caa3</t>
  </si>
  <si>
    <t>Ca</t>
  </si>
  <si>
    <t>CC</t>
  </si>
  <si>
    <t>DDD</t>
  </si>
  <si>
    <t>/</t>
  </si>
  <si>
    <t>P-1</t>
  </si>
  <si>
    <t>A-1+</t>
  </si>
  <si>
    <t>P-2</t>
  </si>
  <si>
    <t>A-1</t>
  </si>
  <si>
    <t>P-3</t>
  </si>
  <si>
    <t>A-2</t>
  </si>
  <si>
    <t>A-3</t>
  </si>
  <si>
    <t>Inv. Analysis - Interest Rate Risk - Asset-backed Securities-Domestic</t>
  </si>
  <si>
    <t>Inv. Analysis - Interest Rate Risk - Asset-backed Securities-International</t>
  </si>
  <si>
    <t>SAO USE 
LEVELING</t>
  </si>
  <si>
    <t>Small</t>
  </si>
  <si>
    <t>Level</t>
  </si>
  <si>
    <t>Rating description</t>
  </si>
  <si>
    <t>F1+</t>
  </si>
  <si>
    <t>Prime</t>
  </si>
  <si>
    <t>Investment-grade</t>
  </si>
  <si>
    <t>High grade</t>
  </si>
  <si>
    <t>AA−</t>
  </si>
  <si>
    <t>F1</t>
  </si>
  <si>
    <t>Upper medium grade</t>
  </si>
  <si>
    <t>A−</t>
  </si>
  <si>
    <t>F2</t>
  </si>
  <si>
    <t>Lower medium grade</t>
  </si>
  <si>
    <t>BBB−</t>
  </si>
  <si>
    <t>F3</t>
  </si>
  <si>
    <t>Not prime</t>
  </si>
  <si>
    <t>Non-investment grade</t>
  </si>
  <si>
    <t>BB−</t>
  </si>
  <si>
    <t>Highly speculative</t>
  </si>
  <si>
    <t>B−</t>
  </si>
  <si>
    <t>Substantial risks</t>
  </si>
  <si>
    <t>CCC−</t>
  </si>
  <si>
    <t>DD</t>
  </si>
  <si>
    <t>Extremely speculative</t>
  </si>
  <si>
    <t>Default imminent with little</t>
  </si>
  <si>
    <t>MOODYS SHORT-TERM</t>
  </si>
  <si>
    <t>FITCH SHORT-TERM</t>
  </si>
  <si>
    <t>In default</t>
  </si>
  <si>
    <t>S&amp;P SHORT-TERM</t>
  </si>
  <si>
    <t>Custodia Cr. Risk</t>
  </si>
  <si>
    <t>CCR</t>
  </si>
  <si>
    <t>FCR</t>
  </si>
  <si>
    <t>Credit Risk</t>
  </si>
  <si>
    <t>Interest Rate Risk</t>
  </si>
  <si>
    <t>Custodial Risk</t>
  </si>
  <si>
    <t>Foreign Currency Risk</t>
  </si>
  <si>
    <t>INV_CUSTODIAL_RISK</t>
  </si>
  <si>
    <t>INV_FOREIGN_CURR_RISK</t>
  </si>
  <si>
    <t>INV_INT_RATE_RISK</t>
  </si>
  <si>
    <t>INV_CREDIT_RISK</t>
  </si>
  <si>
    <t>INV_FMV_LEVEL</t>
  </si>
  <si>
    <t>Final rating</t>
  </si>
  <si>
    <t>INV_ASST_SEC_DOM_B</t>
  </si>
  <si>
    <t>INV_ASST_SEC_DOM_CCC</t>
  </si>
  <si>
    <t>INV_ASST_SEC_DOM_CC</t>
  </si>
  <si>
    <t>INV_ASST_SEC_DOM_C</t>
  </si>
  <si>
    <t>INV_ASST_SEC_DOM_D</t>
  </si>
  <si>
    <t>Insurance Contracts</t>
  </si>
  <si>
    <t>Investment Agreements</t>
  </si>
  <si>
    <t>Non-purpose Investments</t>
  </si>
  <si>
    <t>Opportunities Funds</t>
  </si>
  <si>
    <t>Inv. Analysis - Interest Rate Risk - Bond Securities</t>
  </si>
  <si>
    <t>Inv. Analysis - Interest Rate Risk - Certificates of Deposits</t>
  </si>
  <si>
    <t>Inv. Analysis - Interest Rate Risk - Corporate Debt-Domestic</t>
  </si>
  <si>
    <t>Inv. Analysis - Interest Rate Risk - Corporate Debt-International</t>
  </si>
  <si>
    <t>Inv. Analysis - Interest Rate Risk - Exchange Traded Funds-Debt</t>
  </si>
  <si>
    <t>Inv. Analysis - Interest Rate Risk - International Government Obligations</t>
  </si>
  <si>
    <t>Inv. Analysis - Interest Rate Risk - Money Market Mutual Funds</t>
  </si>
  <si>
    <t>Inv. Analysis - Interest Rate Risk - Mortgage Backed Securities</t>
  </si>
  <si>
    <t>Inv. Analysis - Interest Rate Risk - Municipal Bonds</t>
  </si>
  <si>
    <t>Inv. Analysis - Interest Rate Risk - Mutual Funds Debt</t>
  </si>
  <si>
    <t>Inv. Analysis - Interest Rate Risk - Repurchase Agreements</t>
  </si>
  <si>
    <t>Inv. Analysis - Interest Rate Risk - Sovereign Credit</t>
  </si>
  <si>
    <t>Inv. Analysis - Interest Rate Risk - Supranational Obligations</t>
  </si>
  <si>
    <t>Not Rated</t>
  </si>
  <si>
    <t>SAO USE
RATINGS INTO NUMBERS
SHORT-TERM</t>
  </si>
  <si>
    <t xml:space="preserve">Not Rated </t>
  </si>
  <si>
    <t>INV_ASST_SEC_DOM_ST_A_2</t>
  </si>
  <si>
    <t>INV_ASST_SEC_DOM_ST_A_1_PLUS</t>
  </si>
  <si>
    <t>Inv. Analysis - Interest Rate Risk - Guaranteed Investment Contracts</t>
  </si>
  <si>
    <t>Inv. Analysis - Interest Rate Risk - Insurance Contracts</t>
  </si>
  <si>
    <t>Inv. Analysis - Interest Rate Risk - Investment Agreements</t>
  </si>
  <si>
    <t>Inv. Analysis - Interest Rate Risk - Non-purpose Investments</t>
  </si>
  <si>
    <t>Custodial Credit Risk</t>
  </si>
  <si>
    <t xml:space="preserve">Custodial Credit Risk </t>
  </si>
  <si>
    <t>Inv. Fair Market Value</t>
  </si>
  <si>
    <t xml:space="preserve">Inv. Custodial Credit Risk </t>
  </si>
  <si>
    <t>Inv. Foreign Currency Risk</t>
  </si>
  <si>
    <t>Inv. Rate Risk</t>
  </si>
  <si>
    <t>Inv. Credit Risk</t>
  </si>
  <si>
    <t>Inv. FMV Levels</t>
  </si>
  <si>
    <t>INV_GUARANT_CONTR</t>
  </si>
  <si>
    <t>INV_INSURANCE_CONTR</t>
  </si>
  <si>
    <t>INV_INVESTM_AGREEM</t>
  </si>
  <si>
    <t>INV_NON_PURPOSE</t>
  </si>
  <si>
    <t>INV_OPPORTUNITIES_FUNDS</t>
  </si>
  <si>
    <t>0_3_mo</t>
  </si>
  <si>
    <t>4_12_mo</t>
  </si>
  <si>
    <t>1_5_YR</t>
  </si>
  <si>
    <t>6_10_YR</t>
  </si>
  <si>
    <t>10__PLUS_YR</t>
  </si>
  <si>
    <t>ST_A_1</t>
  </si>
  <si>
    <t>ST_A_1_PLUS</t>
  </si>
  <si>
    <t>ST_A_2</t>
  </si>
  <si>
    <t>LEVEL_1</t>
  </si>
  <si>
    <t>LEVEL_2</t>
  </si>
  <si>
    <t>LEVEL_3</t>
  </si>
  <si>
    <t>LEVEL_NET_ASSET_VALUE</t>
  </si>
  <si>
    <t>LEVEL_OTHER</t>
  </si>
  <si>
    <t>INV_CUST_CR</t>
  </si>
  <si>
    <t>INV_FR_CURR</t>
  </si>
  <si>
    <t>INV_EXCHG_INTL</t>
  </si>
  <si>
    <t xml:space="preserve"> Fair Market Value </t>
  </si>
  <si>
    <t>CUSTODIAL_RISK</t>
  </si>
  <si>
    <t>FOREIGN_CURR_RISK</t>
  </si>
  <si>
    <t>Dimension</t>
  </si>
  <si>
    <t>Member</t>
  </si>
  <si>
    <t>Description</t>
  </si>
  <si>
    <t>Custom 3</t>
  </si>
  <si>
    <t>INV_Analysis</t>
  </si>
  <si>
    <t>Investments Analysis</t>
  </si>
  <si>
    <t>Child of Totc3</t>
  </si>
  <si>
    <t>INV_FMV_C3</t>
  </si>
  <si>
    <t>Fair Market Value Levels</t>
  </si>
  <si>
    <t>Custom3</t>
  </si>
  <si>
    <t xml:space="preserve"> Fair Market Value Level_1</t>
  </si>
  <si>
    <t xml:space="preserve"> Fair Market Value Level_2</t>
  </si>
  <si>
    <t xml:space="preserve"> Fair Market Value Level_3</t>
  </si>
  <si>
    <t xml:space="preserve"> Fair Market Value Level_Net_Asset_Value</t>
  </si>
  <si>
    <t xml:space="preserve"> Fair Market Value Level_Other</t>
  </si>
  <si>
    <t>INV_CREDIT_RISK_C3</t>
  </si>
  <si>
    <t>Inv. Credit Risk_AAA</t>
  </si>
  <si>
    <t>Inv. Credit Risk_AA</t>
  </si>
  <si>
    <t>Inv. Credit Risk_A</t>
  </si>
  <si>
    <t>Inv. Credit Risk_B</t>
  </si>
  <si>
    <t>Inv. Credit Risk_BB</t>
  </si>
  <si>
    <t>Inv. Credit Risk_BBB</t>
  </si>
  <si>
    <t>Inv. Credit Risk_C</t>
  </si>
  <si>
    <t>Inv. Credit Risk_CC</t>
  </si>
  <si>
    <t>Inv. Credit Risk_CCC</t>
  </si>
  <si>
    <t>Inv. Credit Risk_D</t>
  </si>
  <si>
    <t>Inv. Credit Risk_NR</t>
  </si>
  <si>
    <t>Inv. Credit Risk_ST_A_1</t>
  </si>
  <si>
    <t>Inv. Credit Risk_ST_A_1_PLUS</t>
  </si>
  <si>
    <t>Inv. Credit Risk_ST_A_2</t>
  </si>
  <si>
    <t>INV_CUSTODIAL_RISK_C3</t>
  </si>
  <si>
    <t>INV_FOREIGN_CURR_RISK_C3</t>
  </si>
  <si>
    <t>INV_INT_RATE_RISK_C3</t>
  </si>
  <si>
    <t>Inv. Rate Risk_0_3_mo</t>
  </si>
  <si>
    <t>Inv. Rate Risk_4_12_mo</t>
  </si>
  <si>
    <t>Inv. Rate Risk_1_5_YR</t>
  </si>
  <si>
    <t>Inv. Rate Risk_6_10_YR</t>
  </si>
  <si>
    <t>Inv. Rate Risk_10__PLUS_YR</t>
  </si>
  <si>
    <t>YE Form</t>
  </si>
  <si>
    <t>Existing</t>
  </si>
  <si>
    <t>Custom 4</t>
  </si>
  <si>
    <t>INV SECURITIES_C4</t>
  </si>
  <si>
    <t>Investment Securities</t>
  </si>
  <si>
    <t>Child of Year-end Form</t>
  </si>
  <si>
    <t>Currency Risk</t>
  </si>
  <si>
    <t>Account (Grand Parent)</t>
  </si>
  <si>
    <t>Account (Parent)</t>
  </si>
  <si>
    <t>Account (Children)</t>
  </si>
  <si>
    <t>Cash_Rptg (Existing Account)</t>
  </si>
  <si>
    <t>INV_Notes</t>
  </si>
  <si>
    <t>Accounts</t>
  </si>
  <si>
    <t>Inv. Analysis - Interest Rate Risk - Equity Securities-Domestic</t>
  </si>
  <si>
    <t>Inv. Analysis - Interest Rate Risk - Equity Securities-International</t>
  </si>
  <si>
    <t>Inv. Analysis - Interest Rate Risk - Exchange Traded Funds-Equity</t>
  </si>
  <si>
    <t>Inv. Analysis - Interest Rate Risk - Real Estate Investments</t>
  </si>
  <si>
    <r>
      <rPr>
        <b/>
        <u/>
        <sz val="12"/>
        <color rgb="FF000000"/>
        <rFont val="Times New Roman"/>
        <family val="1"/>
      </rPr>
      <t>Credit Quality Risk</t>
    </r>
    <r>
      <rPr>
        <sz val="12"/>
        <color indexed="8"/>
        <rFont val="Times New Roman"/>
        <family val="1"/>
      </rPr>
      <t xml:space="preserve"> - Credit quality risk is the risk that an issuer or other counterparty to an investment will not fulfill its obligations.  See RISK MATRIX for indication  of investment types for which credit quality risk must be disclosed. </t>
    </r>
    <r>
      <rPr>
        <i/>
        <sz val="12"/>
        <color indexed="8"/>
        <rFont val="Times New Roman"/>
        <family val="1"/>
      </rPr>
      <t xml:space="preserve"> Credit ratings from nationally recognized statistical rating organizations must be provided by the organization for all investments in applicable debt securities. Whether the credit ratings provided are short-term or long-term must be indicated.</t>
    </r>
    <r>
      <rPr>
        <sz val="12"/>
        <color indexed="8"/>
        <rFont val="Times New Roman"/>
        <family val="1"/>
      </rPr>
      <t xml:space="preserve"> Credit ratings are not required for debt securities of the U.S. Treasury or obligations of U.S. government agencies that are </t>
    </r>
    <r>
      <rPr>
        <i/>
        <sz val="12"/>
        <color indexed="8"/>
        <rFont val="Times New Roman"/>
        <family val="1"/>
      </rPr>
      <t>explicitly</t>
    </r>
    <r>
      <rPr>
        <sz val="12"/>
        <color indexed="8"/>
        <rFont val="Times New Roman"/>
        <family val="1"/>
      </rPr>
      <t xml:space="preserve"> guaranteed by the U.S. government.  If no credit rating is available for a particular instrument of an investment type for which credit quality risk is required to be assessed, this fact must be disclosed.</t>
    </r>
  </si>
  <si>
    <r>
      <rPr>
        <b/>
        <u/>
        <sz val="12"/>
        <color rgb="FF000000"/>
        <rFont val="Times New Roman"/>
        <family val="1"/>
      </rPr>
      <t>Concentration of Credit Risk</t>
    </r>
    <r>
      <rPr>
        <b/>
        <sz val="12"/>
        <color indexed="8"/>
        <rFont val="Times New Roman"/>
        <family val="1"/>
      </rPr>
      <t xml:space="preserve"> - </t>
    </r>
    <r>
      <rPr>
        <sz val="12"/>
        <color indexed="8"/>
        <rFont val="Times New Roman"/>
        <family val="1"/>
      </rPr>
      <t xml:space="preserve">Concentration of credit risk is the risk of loss attributed to the magnitude of an organization's investment in a single issuer (investment instrument).  Holdings of investments in any one issuer in concentrations of greater than 5% of total investments held must be disclosed.  As investments in obligations of U.S. government agencies explicitly guaranteed by the U.S. government are considered to be of minimal risk, this concentration risk does not apply to these instruments.  Holdings in U.S. government agencies only implicitly guaranteed  by the U.S. government are subject to concentration of credit risk and therefore, listings of these holdings, </t>
    </r>
    <r>
      <rPr>
        <u/>
        <sz val="12"/>
        <color indexed="8"/>
        <rFont val="Times New Roman"/>
        <family val="1"/>
      </rPr>
      <t>by U.S. agency</t>
    </r>
    <r>
      <rPr>
        <sz val="12"/>
        <color indexed="8"/>
        <rFont val="Times New Roman"/>
        <family val="1"/>
      </rPr>
      <t>, must be provided to SAO in order for State level concentration of credit risk to be assessed and disclosed.  Organizations preparing complete organization financial statements must calculate and disclose the individual organization's concentration of credit risk.</t>
    </r>
  </si>
  <si>
    <r>
      <rPr>
        <b/>
        <u/>
        <sz val="12"/>
        <color rgb="FF000000"/>
        <rFont val="Times New Roman"/>
        <family val="1"/>
      </rPr>
      <t>Foreign Currency Risk</t>
    </r>
    <r>
      <rPr>
        <b/>
        <sz val="12"/>
        <color indexed="8"/>
        <rFont val="Times New Roman"/>
        <family val="1"/>
      </rPr>
      <t xml:space="preserve"> - </t>
    </r>
    <r>
      <rPr>
        <sz val="12"/>
        <color indexed="8"/>
        <rFont val="Times New Roman"/>
        <family val="1"/>
      </rPr>
      <t>Foreign currency risk is the risk that changes in exchange rates will adversely affect the fair value of an investment or a deposit.  The value in U.S. dollars of holdings denominated in a foreign currency must be provided by the organization.</t>
    </r>
  </si>
  <si>
    <t>INVESTMENT RECONCILIATION TAB</t>
  </si>
  <si>
    <t xml:space="preserve">Instructions </t>
  </si>
  <si>
    <r>
      <rPr>
        <b/>
        <u/>
        <sz val="12"/>
        <rFont val="Times New Roman"/>
        <family val="1"/>
      </rPr>
      <t>CREDIT QUALITY RISK</t>
    </r>
    <r>
      <rPr>
        <b/>
        <sz val="12"/>
        <rFont val="Times New Roman"/>
        <family val="1"/>
      </rPr>
      <t xml:space="preserve"> </t>
    </r>
    <r>
      <rPr>
        <sz val="12"/>
        <rFont val="Times New Roman"/>
        <family val="1"/>
      </rPr>
      <t>(columns O through R)</t>
    </r>
  </si>
  <si>
    <r>
      <rPr>
        <b/>
        <u/>
        <sz val="12"/>
        <rFont val="Times New Roman"/>
        <family val="1"/>
      </rPr>
      <t>CUSTODIAL CREDIT RISK</t>
    </r>
    <r>
      <rPr>
        <b/>
        <sz val="12"/>
        <rFont val="Times New Roman"/>
        <family val="1"/>
      </rPr>
      <t xml:space="preserve"> </t>
    </r>
    <r>
      <rPr>
        <sz val="12"/>
        <rFont val="Times New Roman"/>
        <family val="1"/>
      </rPr>
      <t>(column S)</t>
    </r>
  </si>
  <si>
    <r>
      <rPr>
        <b/>
        <u/>
        <sz val="12"/>
        <rFont val="Times New Roman"/>
        <family val="1"/>
      </rPr>
      <t>FOREIGN CURRENCY RIS</t>
    </r>
    <r>
      <rPr>
        <b/>
        <sz val="12"/>
        <rFont val="Times New Roman"/>
        <family val="1"/>
      </rPr>
      <t>K</t>
    </r>
    <r>
      <rPr>
        <sz val="12"/>
        <rFont val="Times New Roman"/>
        <family val="1"/>
      </rPr>
      <t xml:space="preserve"> (column T)</t>
    </r>
  </si>
  <si>
    <t>FOREIGN CURRENCY DETAIL</t>
  </si>
  <si>
    <t>Total amount in cell H40 should be equal to the amount in column G on the Investment Analysis tab if "yes" was selected in column T.</t>
  </si>
  <si>
    <t>The purpose of the Foreign Currency Detail tab is to reconcile data reported on the tab to data on Investment Analysis tab.</t>
  </si>
  <si>
    <r>
      <rPr>
        <b/>
        <u/>
        <sz val="12"/>
        <color rgb="FF000000"/>
        <rFont val="Times New Roman"/>
        <family val="1"/>
      </rPr>
      <t>Custodial Credit Risk of Investments</t>
    </r>
    <r>
      <rPr>
        <sz val="12"/>
        <color indexed="8"/>
        <rFont val="Times New Roman"/>
        <family val="1"/>
      </rPr>
      <t xml:space="preserve"> - Custodial credit risk is the risk that in the event of the failure of the counterparty to a transaction, an organization will not be able to recover the value of the investment or collateral securities that are in the possession of an outside party.  This risk applies only to investments that are evidenced by securities that exist in physical or book entry form.  See RISK MATRIX for indication of investment types for which custodial credit risk is applicable.  </t>
    </r>
    <r>
      <rPr>
        <i/>
        <sz val="12"/>
        <color indexed="8"/>
        <rFont val="Times New Roman"/>
        <family val="1"/>
      </rPr>
      <t>For investment types subject to custodial credit risk, organizations must indicate the amount of each of these investment types that is exposed to custodial credit risk.</t>
    </r>
    <r>
      <rPr>
        <sz val="12"/>
        <color indexed="8"/>
        <rFont val="Times New Roman"/>
        <family val="1"/>
      </rPr>
      <t xml:space="preserve">  The applicable risk category will have to be obtained through communication with the organization's counterparty or the holding financial institution/broker/dealer.</t>
    </r>
  </si>
  <si>
    <t>Georgia Veterans Service Foundation, Inc.</t>
  </si>
  <si>
    <t>z_15100_20000</t>
  </si>
  <si>
    <t>The Foundation for Public Education in Georgia, Inc.</t>
  </si>
  <si>
    <t>z_15300_90001</t>
  </si>
  <si>
    <t>Superior Court Clerks' Retirement Fund of Georgia</t>
  </si>
  <si>
    <t>99800_90001</t>
  </si>
  <si>
    <t>INVESTMENT ANALYSIS tab</t>
  </si>
  <si>
    <r>
      <t xml:space="preserve">Unhide the </t>
    </r>
    <r>
      <rPr>
        <b/>
        <sz val="12"/>
        <rFont val="Times New Roman"/>
        <family val="1"/>
      </rPr>
      <t>'SAO Only Checklist'</t>
    </r>
    <r>
      <rPr>
        <sz val="12"/>
        <rFont val="Times New Roman"/>
        <family val="1"/>
      </rPr>
      <t xml:space="preserve"> tab (right click and select 'Unhide')</t>
    </r>
  </si>
  <si>
    <r>
      <t xml:space="preserve">If the agency has selected </t>
    </r>
    <r>
      <rPr>
        <b/>
        <sz val="12"/>
        <rFont val="Times New Roman"/>
        <family val="1"/>
      </rPr>
      <t>N/A (not applicable)</t>
    </r>
    <r>
      <rPr>
        <sz val="12"/>
        <rFont val="Times New Roman"/>
        <family val="1"/>
      </rPr>
      <t xml:space="preserve"> in section B with no other information completed on the three yellow tabs, close the form and respond on the checklist that the agency has submitted a form denoting that it is N/A. </t>
    </r>
    <r>
      <rPr>
        <b/>
        <sz val="12"/>
        <rFont val="Times New Roman"/>
        <family val="1"/>
      </rPr>
      <t>NOTE:</t>
    </r>
    <r>
      <rPr>
        <sz val="12"/>
        <rFont val="Times New Roman"/>
        <family val="1"/>
      </rPr>
      <t xml:space="preserve"> Check to see if the agency submitted a prior year completed investment form data and if so, why the current year's form is marked as N/A (i.e., were investments liquidated in prior year?). If section B is not denoted as N/A, continue with the steps below.</t>
    </r>
  </si>
  <si>
    <t xml:space="preserve">Ensure the agency has completed all of Section A. </t>
  </si>
  <si>
    <t>Rows 20 and 21 (in light blue font) represents sample data. Actual data should be in black font below these rows.</t>
  </si>
  <si>
    <r>
      <t xml:space="preserve">If an agency has selected </t>
    </r>
    <r>
      <rPr>
        <b/>
        <sz val="12"/>
        <rFont val="Times New Roman"/>
        <family val="1"/>
      </rPr>
      <t>'Yes'</t>
    </r>
    <r>
      <rPr>
        <sz val="12"/>
        <rFont val="Times New Roman"/>
        <family val="1"/>
      </rPr>
      <t xml:space="preserve"> in columns S or T, additional information is needed. </t>
    </r>
    <r>
      <rPr>
        <b/>
        <sz val="12"/>
        <rFont val="Times New Roman"/>
        <family val="1"/>
      </rPr>
      <t>NOTE:</t>
    </r>
    <r>
      <rPr>
        <sz val="12"/>
        <rFont val="Times New Roman"/>
        <family val="1"/>
      </rPr>
      <t xml:space="preserve"> The general instructions tab asks agencies to provide additional information if Yes is selected. Contact the intern to determine if the information was submitted in an email with the form before reaching out to agencies for more information.</t>
    </r>
  </si>
  <si>
    <t>INVESTMENT RECONCILIATION tab</t>
  </si>
  <si>
    <t>Section A, row 16, should auto-fill with the agency information from the 'Investments Analysis' tab.</t>
  </si>
  <si>
    <t xml:space="preserve">If the agency has reconciling items, they should total in column M for each reconciling section. </t>
  </si>
  <si>
    <r>
      <t xml:space="preserve">The subtotals in column m will carryfoward from row 16 to row 52, for a grand total. </t>
    </r>
    <r>
      <rPr>
        <b/>
        <sz val="12"/>
        <rFont val="Times New Roman"/>
        <family val="1"/>
      </rPr>
      <t>NOTE:</t>
    </r>
    <r>
      <rPr>
        <sz val="12"/>
        <rFont val="Times New Roman"/>
        <family val="1"/>
      </rPr>
      <t xml:space="preserve"> Agencies may or may not have reconciling items. </t>
    </r>
    <r>
      <rPr>
        <b/>
        <sz val="12"/>
        <rFont val="Times New Roman"/>
        <family val="1"/>
      </rPr>
      <t>REMINDER: Ensure the Grand Total in cell M:52 ties to the GL.</t>
    </r>
  </si>
  <si>
    <t>FOREIGN CURRENCY DETAIL tab</t>
  </si>
  <si>
    <t>Row 15 (in light blue font) represents sample data. Actual data should be in black font below this row.</t>
  </si>
  <si>
    <t>Ensure that columns B through J are completed per sample row 15.</t>
  </si>
  <si>
    <t>Filter off of blanks and dashes in column D (Amount).</t>
  </si>
  <si>
    <t xml:space="preserve">Open FCCS and consolidate the data. </t>
  </si>
  <si>
    <t>OTHER</t>
  </si>
  <si>
    <t>Investment Analysis tab</t>
  </si>
  <si>
    <t>from the Investment Analysis tab</t>
  </si>
  <si>
    <t>International Investment Fair Value Amount at 6/30/20</t>
  </si>
  <si>
    <r>
      <t xml:space="preserve">From drop down select the </t>
    </r>
    <r>
      <rPr>
        <b/>
        <sz val="12"/>
        <color indexed="8"/>
        <rFont val="Times New Roman"/>
        <family val="1"/>
      </rPr>
      <t>type of investment instrument(s) held</t>
    </r>
    <r>
      <rPr>
        <sz val="12"/>
        <color indexed="8"/>
        <rFont val="Times New Roman"/>
        <family val="1"/>
      </rPr>
      <t xml:space="preserve"> (column D) for each institution/organization included in column C.  Read step K below regarding Repurchase Agreements.</t>
    </r>
  </si>
  <si>
    <r>
      <rPr>
        <b/>
        <u/>
        <sz val="12"/>
        <color rgb="FF000000"/>
        <rFont val="Times New Roman"/>
        <family val="1"/>
      </rPr>
      <t>INTEREST RATE RISK</t>
    </r>
    <r>
      <rPr>
        <u/>
        <sz val="12"/>
        <color rgb="FF000000"/>
        <rFont val="Times New Roman"/>
        <family val="1"/>
      </rPr>
      <t xml:space="preserve"> </t>
    </r>
    <r>
      <rPr>
        <sz val="12"/>
        <color indexed="8"/>
        <rFont val="Times New Roman"/>
        <family val="1"/>
      </rPr>
      <t xml:space="preserve">(columns H through N) Enter the applicable maturity date per investment in column H. Investments may be entered at the aggregate level, provided they are at a sufficiently detailed level so that risk exposures unique to specific investment types can be addressed. For example, if there are multiple Corporate Bonds with the same maturity date, you may enter them on one line, however if these Corporate bonds have different credit ratings, you must enter them on different lines to address the various credit ratings. If the instrument or investment type is not subject to interest rate risk, such as Mutual Funds Equities, cells from H to N will highlight in gray and do not need to be completed. </t>
    </r>
  </si>
  <si>
    <t xml:space="preserve">From communication with the holding institution/organization or research performed by organization personnel, enter the credit rating per the applicable credit agency, and designation as to whether the rating is a short-term or long-term rating. If the investment is a repurchase agreement, provide a listing of the instruments underlying the repurchase agreement and the credit rating for each of these underlying instruments. If the instrument selected in column D is US Agencies-Guaranteed or US Treasuries, then Credit Quality risk is not required and cells from O to R will highlight in gray and do not need to be completed. </t>
  </si>
  <si>
    <t>From drop down in column U, select appropriate fair value level based on information provided from the investment manager (or other accurate source). If the measurement level is not listed in the dropdown box, enter it in column V.</t>
  </si>
  <si>
    <t>Note: Lines 20 &amp; 21 in blue cursive letters are just example. Please start typing in line #22.</t>
  </si>
  <si>
    <t>Analysis Form Received</t>
  </si>
  <si>
    <t>Reconciliation Form Not applicable</t>
  </si>
  <si>
    <t>Data Source</t>
  </si>
  <si>
    <t>InterCompany</t>
  </si>
  <si>
    <t>Movement</t>
  </si>
  <si>
    <t>Consolidation</t>
  </si>
  <si>
    <t>FCCS_Other Data</t>
  </si>
  <si>
    <t>FCCS_No Intercompany</t>
  </si>
  <si>
    <t>No Custom1</t>
  </si>
  <si>
    <t>No Custom2</t>
  </si>
  <si>
    <t>No Custom3</t>
  </si>
  <si>
    <t>FCCS_YTD_Input</t>
  </si>
  <si>
    <t>No Custom4</t>
  </si>
  <si>
    <t>FCCS_Entity Input</t>
  </si>
  <si>
    <t>Intercompany</t>
  </si>
  <si>
    <t>FCC Formula</t>
  </si>
  <si>
    <t>FCC Account</t>
  </si>
  <si>
    <t>FCC  Desc</t>
  </si>
  <si>
    <t>FY20</t>
  </si>
  <si>
    <t>FCC Desc</t>
  </si>
  <si>
    <r>
      <t>Mutual Funds Equities</t>
    </r>
    <r>
      <rPr>
        <sz val="10"/>
        <color theme="3" tint="0.39997558519241921"/>
        <rFont val="Arial"/>
        <family val="2"/>
      </rPr>
      <t xml:space="preserve"> </t>
    </r>
  </si>
  <si>
    <t>Bank Deposits Held for Investment Purposes     1</t>
  </si>
  <si>
    <t>Commingled Funds                                          1</t>
  </si>
  <si>
    <t>General Obligation Bonds                                 1</t>
  </si>
  <si>
    <t>Mortgage Backed Securities - Commercial       1</t>
  </si>
  <si>
    <r>
      <t>Mutual Funds Equities</t>
    </r>
    <r>
      <rPr>
        <sz val="10"/>
        <color theme="3" tint="0.39997558519241921"/>
        <rFont val="Arial"/>
        <family val="2"/>
      </rPr>
      <t xml:space="preserve"> </t>
    </r>
    <r>
      <rPr>
        <b/>
        <sz val="10"/>
        <color theme="3" tint="0.39997558519241921"/>
        <rFont val="Arial"/>
        <family val="2"/>
      </rPr>
      <t xml:space="preserve">Domestic               </t>
    </r>
    <r>
      <rPr>
        <sz val="10"/>
        <rFont val="Arial"/>
        <family val="2"/>
      </rPr>
      <t xml:space="preserve">       1   </t>
    </r>
  </si>
  <si>
    <t xml:space="preserve">Mutual Funds Equities International                   1  </t>
  </si>
  <si>
    <t xml:space="preserve">Private Equity                                                  1 </t>
  </si>
  <si>
    <t xml:space="preserve">Real Estate Investment Trusts                           1 </t>
  </si>
  <si>
    <t>Short-term Investment Funds                            1</t>
  </si>
  <si>
    <t xml:space="preserve">Other                                                              1   </t>
  </si>
  <si>
    <t>USG Investment Pool - Not LGIP                       1</t>
  </si>
  <si>
    <t xml:space="preserve">Bank Deposits Held for Investment Purposes     </t>
  </si>
  <si>
    <t xml:space="preserve">Commingled Funds                                          </t>
  </si>
  <si>
    <t xml:space="preserve">General Obligation Bonds                                 </t>
  </si>
  <si>
    <t xml:space="preserve">Other                                                              </t>
  </si>
  <si>
    <t>INV_BK_DEP_INV</t>
  </si>
  <si>
    <t>INV_COMM_FUNDS</t>
  </si>
  <si>
    <t>INV_GO_BONDS</t>
  </si>
  <si>
    <t>INV_MORTG_SEC_COMM</t>
  </si>
  <si>
    <t>INV_MUTFUNDS_EQTY_INTL</t>
  </si>
  <si>
    <t>INV_PRIV_EQTY</t>
  </si>
  <si>
    <t>INV_RE_TRUST</t>
  </si>
  <si>
    <t>INV_SH_TERM_FUNDS</t>
  </si>
  <si>
    <t>INV_OTHER</t>
  </si>
  <si>
    <t>INV_USG_POOL_NOT_LGIP</t>
  </si>
  <si>
    <t>Bank Deposits Held for Investment Purposes</t>
  </si>
  <si>
    <t xml:space="preserve">Mutual Funds Equities International    </t>
  </si>
  <si>
    <t xml:space="preserve">Private Equity   </t>
  </si>
  <si>
    <t xml:space="preserve">Real Estate Investment Trusts      </t>
  </si>
  <si>
    <t xml:space="preserve">Short-term Investment Funds     </t>
  </si>
  <si>
    <t xml:space="preserve">USG Investment Pool - Not LGIP   </t>
  </si>
  <si>
    <t>Blue bold letter in column D are new C4's to add to metadata, description is in column F</t>
  </si>
  <si>
    <t>Change description for existing C4</t>
  </si>
  <si>
    <r>
      <t>INV_MUTFUNDS_EQTY</t>
    </r>
    <r>
      <rPr>
        <b/>
        <sz val="10"/>
        <color theme="3" tint="0.39997558519241921"/>
        <rFont val="Arial"/>
        <family val="2"/>
      </rPr>
      <t>_DOM</t>
    </r>
  </si>
  <si>
    <r>
      <rPr>
        <b/>
        <sz val="10"/>
        <rFont val="Arial"/>
        <family val="2"/>
      </rPr>
      <t>Only for line 63</t>
    </r>
    <r>
      <rPr>
        <sz val="10"/>
        <rFont val="Arial"/>
        <family val="2"/>
      </rPr>
      <t>: add</t>
    </r>
    <r>
      <rPr>
        <b/>
        <sz val="10"/>
        <color theme="3" tint="0.39997558519241921"/>
        <rFont val="Arial"/>
        <family val="2"/>
      </rPr>
      <t xml:space="preserve"> _DOM</t>
    </r>
    <r>
      <rPr>
        <sz val="10"/>
        <rFont val="Arial"/>
        <family val="2"/>
      </rPr>
      <t xml:space="preserve"> in column D and add </t>
    </r>
    <r>
      <rPr>
        <b/>
        <sz val="10"/>
        <color theme="3" tint="0.39997558519241921"/>
        <rFont val="Arial"/>
        <family val="2"/>
      </rPr>
      <t>Domestic</t>
    </r>
    <r>
      <rPr>
        <sz val="10"/>
        <rFont val="Arial"/>
        <family val="2"/>
      </rPr>
      <t xml:space="preserve"> to the name</t>
    </r>
  </si>
  <si>
    <t>Strategic Income Opportunities Funds</t>
  </si>
  <si>
    <t>US Agencies Obligations -Explicitly Guaranteed</t>
  </si>
  <si>
    <t>US Agencies Obligations</t>
  </si>
  <si>
    <t>US Treasuries Obligations</t>
  </si>
  <si>
    <t>Updated February 2021</t>
  </si>
  <si>
    <t>Value</t>
  </si>
  <si>
    <t>&lt;entity curr total&gt;</t>
  </si>
  <si>
    <t>&lt;entity currency&gt;</t>
  </si>
  <si>
    <t>&lt;entity curr adjs&gt;</t>
  </si>
  <si>
    <t>ICP</t>
  </si>
  <si>
    <t>[icp none]</t>
  </si>
  <si>
    <t>totc1</t>
  </si>
  <si>
    <t>totc2</t>
  </si>
  <si>
    <t>totc3</t>
  </si>
  <si>
    <t>totc4</t>
  </si>
  <si>
    <t>YTD</t>
  </si>
  <si>
    <t>Ensure the amounts are properly captured on the 'Investment Analysis' tab based on what was loaded on the 'FCC Investments - Load Tab' tab from the Investments form.</t>
  </si>
  <si>
    <r>
      <t xml:space="preserve">If the agency has selected </t>
    </r>
    <r>
      <rPr>
        <b/>
        <sz val="12"/>
        <rFont val="Times New Roman"/>
        <family val="1"/>
      </rPr>
      <t>N/A (not applicable)</t>
    </r>
    <r>
      <rPr>
        <sz val="12"/>
        <rFont val="Times New Roman"/>
        <family val="1"/>
      </rPr>
      <t xml:space="preserve"> in section B and/or if this tab contains no data entered by the agency, this denotes that they do not hold any foreign currency. Proceed to the next steps in '</t>
    </r>
    <r>
      <rPr>
        <b/>
        <sz val="12"/>
        <rFont val="Times New Roman"/>
        <family val="1"/>
      </rPr>
      <t>FCC Investments - Load Tab' tab</t>
    </r>
    <r>
      <rPr>
        <sz val="12"/>
        <rFont val="Times New Roman"/>
        <family val="1"/>
      </rPr>
      <t xml:space="preserve"> section below.</t>
    </r>
  </si>
  <si>
    <r>
      <t xml:space="preserve">Unhide the </t>
    </r>
    <r>
      <rPr>
        <b/>
        <sz val="12"/>
        <rFont val="Times New Roman"/>
        <family val="1"/>
      </rPr>
      <t>'FCC Investments - Load Tab'</t>
    </r>
    <r>
      <rPr>
        <sz val="12"/>
        <rFont val="Times New Roman"/>
        <family val="1"/>
      </rPr>
      <t xml:space="preserve"> tab.</t>
    </r>
  </si>
  <si>
    <t>FCC Investments - Load Tab</t>
  </si>
  <si>
    <t>Does your entity have any investments that are considered callable?
If answer is "Yes" please  immediately  email vesna.mesihovic@sao.ga.gov.
If answer is "No" no action is required.</t>
  </si>
  <si>
    <r>
      <t>As noted on XXX_FormXX_Cash and Deposits.xls, holdings reported in one account range or category on the general ledger and financial statements (cash and cash equivalents / investments) may be required to be disclosed in a different category (deposits / investments) in footnote disclosures.  In other words, not all cash and cash equivalents are deposits and not all general ledger investments are footnote investments.  The attached forms and instructions will differentiate between investment balances on the general ledger or financial statements (</t>
    </r>
    <r>
      <rPr>
        <b/>
        <sz val="12"/>
        <color indexed="8"/>
        <rFont val="Times New Roman"/>
        <family val="1"/>
      </rPr>
      <t>"general ledger investments"</t>
    </r>
    <r>
      <rPr>
        <sz val="12"/>
        <color indexed="8"/>
        <rFont val="Times New Roman"/>
        <family val="1"/>
      </rPr>
      <t xml:space="preserve">) and investments in the State of Georgia's </t>
    </r>
    <r>
      <rPr>
        <i/>
        <sz val="12"/>
        <color rgb="FF000000"/>
        <rFont val="Times New Roman"/>
        <family val="1"/>
      </rPr>
      <t xml:space="preserve">Annual </t>
    </r>
    <r>
      <rPr>
        <i/>
        <sz val="12"/>
        <color indexed="8"/>
        <rFont val="Times New Roman"/>
        <family val="1"/>
      </rPr>
      <t xml:space="preserve">Comprehensive  Financial Report's </t>
    </r>
    <r>
      <rPr>
        <sz val="12"/>
        <color indexed="8"/>
        <rFont val="Times New Roman"/>
        <family val="1"/>
      </rPr>
      <t>(ACFR) footnotes (</t>
    </r>
    <r>
      <rPr>
        <b/>
        <sz val="12"/>
        <color indexed="8"/>
        <rFont val="Times New Roman"/>
        <family val="1"/>
      </rPr>
      <t>"footnote investments"</t>
    </r>
    <r>
      <rPr>
        <sz val="12"/>
        <color indexed="8"/>
        <rFont val="Times New Roman"/>
        <family val="1"/>
      </rPr>
      <t>).</t>
    </r>
  </si>
  <si>
    <t>However, individual holdings within an investment type may be aggregated on Section C of this tab, (i.e., every instrument does not have to be listed separately).  See sample on Section C.  SPECIAL NOTE:  Even though holdings of U.S. Government Obligations will be aggregated in some ACFR disclosures, holdings for each federal agency need to be listed separately in order for concentration of credit risk to be assessed at the State level.  See discussion of Concentration of Credit Risk, below.</t>
  </si>
  <si>
    <r>
      <rPr>
        <b/>
        <u/>
        <sz val="12"/>
        <color rgb="FF000000"/>
        <rFont val="Times New Roman"/>
        <family val="1"/>
      </rPr>
      <t>Interest Rate Risk</t>
    </r>
    <r>
      <rPr>
        <sz val="12"/>
        <color indexed="8"/>
        <rFont val="Times New Roman"/>
        <family val="1"/>
      </rPr>
      <t xml:space="preserve"> - Interest rate risk is the risk that changes in interests rates of debt investments will adversely affect the fair value of an investment.  In preparing the ACFR (for investments other than those maintained by the Employees' and Teachers' Retirement Systems), SAO intends to utilize the Segmented Time Distribution method to disclose the state's level of interest rate risk.  Under this method, debt investments held will be grouped by maturity periods to disclose interest rate exposure.  See RISK MATRIX for indication of investment types for which interest rate risk must be disclosed.  </t>
    </r>
    <r>
      <rPr>
        <i/>
        <sz val="12"/>
        <color indexed="8"/>
        <rFont val="Times New Roman"/>
        <family val="1"/>
      </rPr>
      <t>For investment types subject to interest rate risk, organizations must indicate maturity periods.</t>
    </r>
    <r>
      <rPr>
        <sz val="12"/>
        <color indexed="8"/>
        <rFont val="Times New Roman"/>
        <family val="1"/>
      </rPr>
      <t xml:space="preserve"> </t>
    </r>
  </si>
  <si>
    <t>The primary purpose of these forms is to provide for the gathering of risk disclosure information from each organization included in the ACFR for the State Accounting Office - Financial Reporting section (SAO) to make risk assessments and to prepare risk disclosures at the State reporting level.  Organizations preparing complete organization financial statements not audited by an independent CPA firm will be required to accumulate information additional to that provided for on these forms in order to (1) make additional risk assessments based on the accumulated investments held by the individual organization and (2) disclose the organization's formally adopted policies related to each type of risk in accordance with the GASB statements listed above.  Such organizations include pension funds not administered by the Employees' or Teachers Retirement Systems.</t>
  </si>
  <si>
    <r>
      <t>Mutual Funds Equities</t>
    </r>
    <r>
      <rPr>
        <sz val="10"/>
        <color theme="3" tint="0.39997558519241921"/>
        <rFont val="Arial"/>
        <family val="2"/>
      </rPr>
      <t xml:space="preserve"> </t>
    </r>
    <r>
      <rPr>
        <sz val="10"/>
        <rFont val="Arial"/>
        <family val="2"/>
      </rPr>
      <t>Domestic</t>
    </r>
  </si>
  <si>
    <t>Mutual Funds Equities International</t>
  </si>
  <si>
    <t>In accordance with the RISK MATRIX, identify, in column S, whether the fair value of each investment type is exposed to custodial credit risk. Please select answer from drop down selection.</t>
  </si>
  <si>
    <t>INV_MUTFUNDS_EQTY_DOM</t>
  </si>
  <si>
    <t>US Agencies Obligations-Explicitly Guaranteed</t>
  </si>
  <si>
    <t>Break links in the file and save.</t>
  </si>
  <si>
    <t>Save file as "Investment Form_Single Entity_XXX" (XXX is your Entity number) in Organizations folder.</t>
  </si>
  <si>
    <t>Review the populated amounts to ensure they were captured appropriately from Investment Analysis tab.</t>
  </si>
  <si>
    <t>Enter the entity number on the first tab in the cell A5. In the SV  click 'Refresh All'.</t>
  </si>
  <si>
    <t>In Excel, select 'Smart View' tab, and click on 'Submit Data' .</t>
  </si>
  <si>
    <t>Entity List for Forms</t>
  </si>
  <si>
    <t>Organizational Unit</t>
  </si>
  <si>
    <t>Metadata</t>
  </si>
  <si>
    <t>40300(GAA)</t>
  </si>
  <si>
    <t>40300(GF)</t>
  </si>
  <si>
    <t>40300(ISF)</t>
  </si>
  <si>
    <t>419(GF)</t>
  </si>
  <si>
    <t>Community Health, Department of - regular</t>
  </si>
  <si>
    <t>419(SHBP)</t>
  </si>
  <si>
    <t>Community Health, Department of - SHBP</t>
  </si>
  <si>
    <t>Georgia General Assembly Joint Offices</t>
  </si>
  <si>
    <t>48400(TIA)</t>
  </si>
  <si>
    <t>49500_Ewadj</t>
  </si>
  <si>
    <t>910Au</t>
  </si>
  <si>
    <t>910FD</t>
  </si>
  <si>
    <t>91900_90001</t>
  </si>
  <si>
    <t>Z_99000_20200</t>
  </si>
  <si>
    <t>99600_90001</t>
  </si>
  <si>
    <t>Finally, be aware that external auditors may request documentation supporting information included on the investment analysis.  Retain any summary spreadsheets used to prepare the analysis and documentation supporting each of the individual instruments held at 6/30.</t>
  </si>
  <si>
    <t>In the General Ledger Information section, ensure the agency has completed all information in columns A through H starting below row 21, per sample rows 20 and 21 (column E is optional and column I auto-populates).</t>
  </si>
  <si>
    <t>Ensure that  agency reports a rating in column P through R. Agency should report "Not Rated" in at least one of the column and not leave all columns P though R blank. Reach out to the agency if P through R are blank, and confirm that  it is a "not rated "  for that specific investment.
When some types of the investments are selected in column D, some or all cells from column H to R will gray out and Note preparer will take care of data in those cells.</t>
  </si>
  <si>
    <t>Mutual Funds Equities Domestic</t>
  </si>
  <si>
    <t>SAO USE
RATINGS INTO NUMBERS
LONG-TERM</t>
  </si>
  <si>
    <t>General Obligation Bonds</t>
  </si>
  <si>
    <t xml:space="preserve">General Obligation Bonds                         </t>
  </si>
  <si>
    <t xml:space="preserve">General Obligation Bonds             </t>
  </si>
  <si>
    <t>Commingled Funds</t>
  </si>
  <si>
    <t xml:space="preserve">Commingled Funds                                     </t>
  </si>
  <si>
    <t>Private Equity</t>
  </si>
  <si>
    <t>Short-term Investment Funds</t>
  </si>
  <si>
    <t>Other</t>
  </si>
  <si>
    <t>USG Investment Pool - Not LGIP</t>
  </si>
  <si>
    <t>Inv. Analysis - Interest Rate Risk - Mutual Funds Equities Domestic</t>
  </si>
  <si>
    <t>Inv. Analysis - Interest Rate Risk - US Agencies Obligations</t>
  </si>
  <si>
    <t>Inv. Analysis - Credit Quality Risk - Mutual Funds Equities Domestic</t>
  </si>
  <si>
    <t>Inv. Analysis - Interest Rate Risk - US Agencies Obligations-Explicitly Guaranteed</t>
  </si>
  <si>
    <t>Inv. Analysis - Interest Rate Risk - US Treasuries Obligations</t>
  </si>
  <si>
    <t>Inv. Analysis - Interest Rate Risk - Strategic Income Opportunities Funds</t>
  </si>
  <si>
    <t>Mortgage Backed Securities-Commercial</t>
  </si>
  <si>
    <t>Exchange Traded Funds-International</t>
  </si>
  <si>
    <t>INV_COMM_FUNDS_EQTY</t>
  </si>
  <si>
    <t xml:space="preserve">Commingled Funds-Equity                                         </t>
  </si>
  <si>
    <t xml:space="preserve">Updated January 2022 1.28  </t>
  </si>
  <si>
    <t>Add new C4's:</t>
  </si>
  <si>
    <t>Open the 'Investment Form_Single Entity.xlxs' file located at: W:\ACFR20XX\Hyperion\Templates, Docs, etc\Single Entity Check File</t>
  </si>
  <si>
    <t>Jun</t>
  </si>
  <si>
    <t>FCCS_ClosingBalance_Input</t>
  </si>
  <si>
    <t>Fair Value</t>
  </si>
  <si>
    <t>Fair Value - Asset-backed Securities-Domestic</t>
  </si>
  <si>
    <t>Fair Value - Asset-backed Securities-International</t>
  </si>
  <si>
    <t>Fair Value - Bond Securities</t>
  </si>
  <si>
    <t xml:space="preserve">Fair Value - Bank Deposits Held for Investment Purposes     </t>
  </si>
  <si>
    <t>Fair Value - Certificates of Deposits</t>
  </si>
  <si>
    <t xml:space="preserve">Fair Value - Commingled Funds   </t>
  </si>
  <si>
    <t>Fair Value - Corporate Debt-Domestic</t>
  </si>
  <si>
    <t>Fair Value - Corporate Debt-International</t>
  </si>
  <si>
    <t>Fair Value - Equity Securities-Domestic</t>
  </si>
  <si>
    <t>Fair Value - Equity Securities-International</t>
  </si>
  <si>
    <t>Fair Value - Exchange Traded Funds-Debt</t>
  </si>
  <si>
    <t>Fair Value - Exchange Traded Funds-Equity</t>
  </si>
  <si>
    <t>Fair Value - International Government Obligations</t>
  </si>
  <si>
    <t xml:space="preserve">Fair Value - General Obligation Bonds              </t>
  </si>
  <si>
    <t>Fair Value - Guaranteed Investment Contracts</t>
  </si>
  <si>
    <t>Fair Value - Insurance Contracts</t>
  </si>
  <si>
    <t>Fair Value - Investment Agreements</t>
  </si>
  <si>
    <t>Fair Value - Money Market Mutual Funds</t>
  </si>
  <si>
    <t>Fair Value - Mortgage Backed Securities</t>
  </si>
  <si>
    <t xml:space="preserve">Fair Value - Mortgage Backed Securities-Commercial      </t>
  </si>
  <si>
    <t>Fair Value - Municipal Bonds</t>
  </si>
  <si>
    <t>Fair Value - Mutual Funds Debt</t>
  </si>
  <si>
    <t>Fair Value - Mutual Funds Equities Domestic</t>
  </si>
  <si>
    <t xml:space="preserve">Fair Value - Mutual Funds Equities International       </t>
  </si>
  <si>
    <t>Fair Value - Non-purpose Investments</t>
  </si>
  <si>
    <t>Fair Value - Strategic Income Opportunities Funds</t>
  </si>
  <si>
    <t xml:space="preserve">Fair Value - Private Equity            </t>
  </si>
  <si>
    <t>Fair Value - Real Estate Investments</t>
  </si>
  <si>
    <t xml:space="preserve">Fair Value - Real Estate Investment Trusts     </t>
  </si>
  <si>
    <t>Fair Value - Repurchase Agreements</t>
  </si>
  <si>
    <t xml:space="preserve">Fair Value - Short-term Investment Funds   </t>
  </si>
  <si>
    <t>Fair Value - Sovereign Credit</t>
  </si>
  <si>
    <t>Fair Value - Supranational Obligations</t>
  </si>
  <si>
    <t>Fair Value - US Agencies Obligations-Explicitly Guaranteed</t>
  </si>
  <si>
    <t>Fair Value - US Agencies Obligations</t>
  </si>
  <si>
    <t>Fair Value - US Treasuries Obligations</t>
  </si>
  <si>
    <t xml:space="preserve">Fair Value - Other      </t>
  </si>
  <si>
    <t xml:space="preserve">Fair Value - USG Investment Pool - Not LGIP      </t>
  </si>
  <si>
    <t>FVM Level</t>
  </si>
  <si>
    <t>Inv. Analysis - FV Measurement - Asset-backed Securities-Domestic</t>
  </si>
  <si>
    <t>Inv. Analysis -  FV Measurement - Asset-backed Securities-International</t>
  </si>
  <si>
    <t>Inv. Analysis -  FV Measurement - Bond Securities</t>
  </si>
  <si>
    <t>Inv. Analysis - FV Measurement - Certificates of Deposits</t>
  </si>
  <si>
    <t>Inv. Analysis - FV Measurement - Corporate Debt-Domestic</t>
  </si>
  <si>
    <t>Inv. Analysis - FV Measurement - Corporate Debt-International</t>
  </si>
  <si>
    <t>Inv. Analysis  - FV Measurement  - Equity Securities-Domestic</t>
  </si>
  <si>
    <t>Inv. Analysis - FV Measurement  - Equity Securities-Domestic</t>
  </si>
  <si>
    <t>Inv. Analysis - FV Measurement - Equity Securities-International</t>
  </si>
  <si>
    <t>Inv. Analysis - FV Measurement - Exchange Traded Funds-Debt</t>
  </si>
  <si>
    <t>Inv. Analysis - FV Measurement - Exchange Traded Funds-Equity</t>
  </si>
  <si>
    <t>Inv. Analysis - FV Measurement - International Government Obligations</t>
  </si>
  <si>
    <t>Inv. Analysis - FV Measurement - Guaranteed Investment Contracts</t>
  </si>
  <si>
    <t>Inv. Analysis - FV Measurement - Insurance Contracts</t>
  </si>
  <si>
    <t>Inv. Analysis - FV Measurement - Investment Agreements</t>
  </si>
  <si>
    <t>Inv. Analysis - FV Measurement - Investment Ageements</t>
  </si>
  <si>
    <t>Inv. Analysis - FV Measurement - Money Market Mutual Funds</t>
  </si>
  <si>
    <t>Inv. Analysis - FV Measurement - Mortgage Backed Securities</t>
  </si>
  <si>
    <t>Inv. Analysis - FV Measurement - Municipal Bonds</t>
  </si>
  <si>
    <t>Inv. Analysis - FV Measurement - Mutual Funds Debt</t>
  </si>
  <si>
    <t>Inv. Analysis - FV Measurement - Mutual Funds Equities Domestic</t>
  </si>
  <si>
    <t>Inv. Analysis - FV Measurement - Non-purpose Investments</t>
  </si>
  <si>
    <t>Inv. Analysis - FV Measurement - Strategic Income Opportunities Funds</t>
  </si>
  <si>
    <t>Inv. Analysis - FV Measurement - Real Estate Investments</t>
  </si>
  <si>
    <t>Inv. Analysis - FV Measurement - Repurchase Agreements</t>
  </si>
  <si>
    <t>Inv. Analysis - FV Measurement - Sovereign Credit</t>
  </si>
  <si>
    <t>Inv. Analysis - FV Measurement - Supranational Obligations</t>
  </si>
  <si>
    <t>Inv. Analysis - FV Measurement - US Agencies Obligations-Explicitly Guaranteed</t>
  </si>
  <si>
    <t>Inv. Analysis - FV Measurement - US Agencies Obligations</t>
  </si>
  <si>
    <t>Inv. Analysis - FV Measurement - US Treasuries Obligations</t>
  </si>
  <si>
    <t>Inv. Analysis - Credit Quality Risk - Asset-backed Securities-Domestic</t>
  </si>
  <si>
    <t>Inv. Analysis - Credit Quality Risk -Asset-backed Securities-International</t>
  </si>
  <si>
    <t>Inv. Analysis - Credit Quality Risk - Bond Securities</t>
  </si>
  <si>
    <t>Inv. Analysis - Credit Quality Risk - Certificates of Deposits</t>
  </si>
  <si>
    <t>Inv. Analysis - Credit Quality Risk - Corporate Debt-Domestic</t>
  </si>
  <si>
    <t>Inv. Analysis - Credit Quality Risk - Corporate Debt-International</t>
  </si>
  <si>
    <t>Inv. Analysis - Credit Quality Risk - Equity Securities-Domestic</t>
  </si>
  <si>
    <t>Inv. Analysis - Credit Quality Risk -Equity Securities-Domestic</t>
  </si>
  <si>
    <t>Inv. Analysis - Credit Quality Risk - Equity Securities-International</t>
  </si>
  <si>
    <t>Inv. Analysis - Credit Quality Risk - Exchange Traded Funds-Debt</t>
  </si>
  <si>
    <t>Inv. Analysis - Credit Quality Risk - Exchange Traded Funds-Equity</t>
  </si>
  <si>
    <t>Inv. Analysis - Credit Quality Risk - International Government Obligations</t>
  </si>
  <si>
    <t>Inv. Analysis - Credit Quality Risk - Guaranteed Investment Contracts</t>
  </si>
  <si>
    <t>Inv. Analysis - Credit Quality Risk - Insurance Contracts</t>
  </si>
  <si>
    <t>Inv. Analysis - Credit Quality Risk - Investment Agreements</t>
  </si>
  <si>
    <t>Inv. Analysis - Credit Quality Risk - Money Market Mutual Funds</t>
  </si>
  <si>
    <t>Inv. Analysis - Credit Quality Risk - Mortgage Backed Securities</t>
  </si>
  <si>
    <t>Inv. Analysis - Credit Quality Risk - Municipal Bonds</t>
  </si>
  <si>
    <t>Inv. Analysis - Credit Quality Risk - Mutual Funds Debt</t>
  </si>
  <si>
    <t>Inv. Analysis - Credit Quality Risk - Non-purpose Investments</t>
  </si>
  <si>
    <t>Inv. Analysis - Credit Quality Risk - Strategic Income Opportunities Funds</t>
  </si>
  <si>
    <t>Inv. Analysis - Credit Quality Risk - Real Estate Investments</t>
  </si>
  <si>
    <t>Inv. Analysis - Credit Quality Risk - Repurchase Agreements</t>
  </si>
  <si>
    <t>Inv. Analysis - Credit Quality Risk - Sovereign Credit</t>
  </si>
  <si>
    <t>Inv. Analysis - Credit Quality Risk - Supranational Obligations</t>
  </si>
  <si>
    <t>Inv. Analysis - Credit Quality Risk - US Agencies Obligations-Explicitly Guaranteed</t>
  </si>
  <si>
    <t>Inv. Analysis - Credit Quality Risk - US Agencies Obligations</t>
  </si>
  <si>
    <t>Inv. Analysis - Credit Quality Risk - US Treasuries Obligations</t>
  </si>
  <si>
    <t>FY23</t>
  </si>
  <si>
    <t>Ensure the agency has completed columns O through U (column V is used only if applicable - rare). In column O, short-term or long-term must be selected for the other columns to populate with the appropriate selections.  If column O is blank, reach out to the agency.</t>
  </si>
  <si>
    <t>Updated June 2022</t>
  </si>
  <si>
    <t>Update Description</t>
  </si>
  <si>
    <t>Change to</t>
  </si>
  <si>
    <t>DESCRIPTION</t>
  </si>
  <si>
    <t>Fair Value Measurement Levels</t>
  </si>
  <si>
    <t>Change to:</t>
  </si>
  <si>
    <t xml:space="preserve"> Fair Value </t>
  </si>
  <si>
    <t>Inv. Fair Value</t>
  </si>
  <si>
    <t xml:space="preserve"> Fair Value Measurement Level_1</t>
  </si>
  <si>
    <t xml:space="preserve"> Fair Value Measurement Level_2</t>
  </si>
  <si>
    <t xml:space="preserve"> Fair Value Measurement Level_3</t>
  </si>
  <si>
    <t xml:space="preserve"> Fair Value Measurement Level_Net_Asset_Value</t>
  </si>
  <si>
    <t xml:space="preserve"> Fair Value Measurement Level_Other</t>
  </si>
  <si>
    <t>Inv. FVM Levels</t>
  </si>
  <si>
    <t>INV_INVESTM_POOL_POEBTF</t>
  </si>
  <si>
    <t>Investment Pool POEBTF</t>
  </si>
  <si>
    <t>INV_INVESTM_POOL_CUSTODIAL</t>
  </si>
  <si>
    <t>Investment Pool Custodial Fund</t>
  </si>
  <si>
    <t>Flexible Benefits Program</t>
  </si>
  <si>
    <t>26000_60130</t>
  </si>
  <si>
    <t>41200_Ewadj</t>
  </si>
  <si>
    <t>Prosecuting Attorneys' Council of the State of Georgia</t>
  </si>
  <si>
    <t>Court of Appeals</t>
  </si>
  <si>
    <t>Superior Courts</t>
  </si>
  <si>
    <t>Supreme Court</t>
  </si>
  <si>
    <t>Georgia Agricultural Exposition Authority</t>
  </si>
  <si>
    <t>92700_30000</t>
  </si>
  <si>
    <t>40200_60171</t>
  </si>
  <si>
    <t>40200_60172</t>
  </si>
  <si>
    <t>Peace Officers’ Annuity and Benefit Fund</t>
  </si>
  <si>
    <t>Updated February 2024</t>
  </si>
  <si>
    <t>Hedge Funds</t>
  </si>
  <si>
    <t>INV_HEDGE_FUNDS</t>
  </si>
  <si>
    <t>Global Credit Opportunities II Fund</t>
  </si>
  <si>
    <t>INV_GLOB_CR_OPPORT_FUNDS</t>
  </si>
  <si>
    <t>40200(Boll)</t>
  </si>
  <si>
    <t>Agriculture, Department of - Custodial Fund - Boll Weevil</t>
  </si>
  <si>
    <t>40200(ACC)</t>
  </si>
  <si>
    <t>Agriculture, Department of - Custodial Fund - ACC</t>
  </si>
  <si>
    <t>Enter the full entity number in cell G2 (i.e., 40200_EWAdj) and ensure the Period is 12 (column H) and the Year is FY24 (column I).</t>
  </si>
  <si>
    <t>Updated November 2024</t>
  </si>
  <si>
    <t>Exchange Traded Funds-Domestic</t>
  </si>
  <si>
    <t>INV_EXCHG_DOM</t>
  </si>
  <si>
    <t>FY25</t>
  </si>
  <si>
    <r>
      <t xml:space="preserve">Verify that any </t>
    </r>
    <r>
      <rPr>
        <u/>
        <sz val="10"/>
        <rFont val="Times New Roman"/>
        <family val="1"/>
      </rPr>
      <t>deposits</t>
    </r>
    <r>
      <rPr>
        <sz val="10"/>
        <rFont val="Times New Roman"/>
        <family val="1"/>
      </rPr>
      <t xml:space="preserve"> footnote amounts have been identified and added to reconciling item #1.  Be sure this amount is also included on the XXX_Form25_Cash and Deposits.xlsx reconciling item 3. </t>
    </r>
  </si>
  <si>
    <r>
      <t xml:space="preserve">Verify that any </t>
    </r>
    <r>
      <rPr>
        <u/>
        <sz val="10"/>
        <rFont val="Times New Roman"/>
        <family val="1"/>
      </rPr>
      <t>investments</t>
    </r>
    <r>
      <rPr>
        <sz val="10"/>
        <rFont val="Times New Roman"/>
        <family val="1"/>
      </rPr>
      <t xml:space="preserve"> footnote amounts have been identified and deleted from reconciliation item #2.  Be sure this amount is also included on the XXX_Form25_Cash and Deposits.xlsx reconciling item 1.</t>
    </r>
  </si>
  <si>
    <t>Verify the reconciliation total equals the amount on the general ledger for investments at 6/30/2025.</t>
  </si>
  <si>
    <r>
      <t xml:space="preserve">Enter the </t>
    </r>
    <r>
      <rPr>
        <b/>
        <sz val="12"/>
        <color indexed="8"/>
        <rFont val="Times New Roman"/>
        <family val="1"/>
      </rPr>
      <t xml:space="preserve">general ledger account number, trade country name, aset class/type, investment manager name, debt/equity, base cost, International Investment Fair Value Amount at 6/30/25, Fair value using quoted market prices,  amount subject to Foreign Currency Risk </t>
    </r>
    <r>
      <rPr>
        <sz val="12"/>
        <color indexed="8"/>
        <rFont val="Times New Roman"/>
        <family val="1"/>
      </rPr>
      <t xml:space="preserve"> for items reported as investments on the general ledger or financial statements that are expose dto Foreign Currency Risk.</t>
    </r>
  </si>
  <si>
    <t>Georgia Education Savings Authority</t>
  </si>
  <si>
    <t>90800_90001</t>
  </si>
  <si>
    <t>Updated 6/24/2025</t>
  </si>
  <si>
    <t>Updated November 2025</t>
  </si>
  <si>
    <t>INV_REV_REPO</t>
  </si>
  <si>
    <t>INV_PRIV_DEBT_SR_FUND</t>
  </si>
  <si>
    <t>Private Debt Senior Loan Fund</t>
  </si>
  <si>
    <t>Imani DeVaughn</t>
  </si>
  <si>
    <t>imani.devaughn@sao.ga.gov</t>
  </si>
  <si>
    <t>Cell #  678-725-5751</t>
  </si>
  <si>
    <t>August 31, 2026</t>
  </si>
  <si>
    <r>
      <t xml:space="preserve">To submit your form, please visit the form submission site at https://sao.georgia.gov/form/year-end-forms . If there is no data reported on the form, please do not attach a blank form. For forms not applicable, indicate that nothing needs to be communicated to SAO on the portal. </t>
    </r>
    <r>
      <rPr>
        <b/>
        <sz val="12"/>
        <color rgb="FFFF0000"/>
        <rFont val="Times New Roman"/>
        <family val="1"/>
      </rPr>
      <t>Forms sent through the SAO_Reporting@sao.ga.gov mailbox or directly to SAO personnel will be returned</t>
    </r>
    <r>
      <rPr>
        <sz val="12"/>
        <rFont val="Times New Roman"/>
        <family val="1"/>
      </rPr>
      <t>. Submission of forms are only accepted through the website. 
Please make sure file is named as follows -</t>
    </r>
    <r>
      <rPr>
        <b/>
        <sz val="12"/>
        <rFont val="Times New Roman"/>
        <family val="1"/>
      </rPr>
      <t xml:space="preserve"> XXX_Form26_Investments.xls</t>
    </r>
    <r>
      <rPr>
        <sz val="12"/>
        <rFont val="Times New Roman"/>
        <family val="1"/>
      </rPr>
      <t xml:space="preserve"> (where XXX is the organization's entity code number).</t>
    </r>
  </si>
  <si>
    <t>40300(PPTF)</t>
  </si>
  <si>
    <t>Administrative Services, Department of - PPTF</t>
  </si>
  <si>
    <t>40300_80530</t>
  </si>
  <si>
    <t>Audits and Accounts, Department of</t>
  </si>
  <si>
    <t>40800(GF)</t>
  </si>
  <si>
    <t>Insurance Department of the State of Georgia - General Fund</t>
  </si>
  <si>
    <t>40800(ENT)</t>
  </si>
  <si>
    <t>Insurance Department of the State of Georgia - Access Fund</t>
  </si>
  <si>
    <t>40800_30600</t>
  </si>
  <si>
    <t>Vocational Rehabilitation Agency, Georgia</t>
  </si>
  <si>
    <t>Forestry Commission, State</t>
  </si>
  <si>
    <t>Public Service Commission, Georgia</t>
  </si>
  <si>
    <t>Transportation, Georgia Department of</t>
  </si>
  <si>
    <t>Veterans Service, Department of</t>
  </si>
  <si>
    <t>Public Defender Council, Georgia</t>
  </si>
  <si>
    <t>Holocaust, Georgia Commission on the</t>
  </si>
  <si>
    <t>Agricultural Development Authority, Georgia</t>
  </si>
  <si>
    <t>Georgia Transportation Efficiency Authority</t>
  </si>
  <si>
    <t xml:space="preserve">All organizations not receiving a financial statement audit from an independent CPA firm, having investments other than collateralized CD's or those held in external investment pools (e.g., Office of the State Treasurer [OST's] LGIP or GEAP).  Regardless of the types of investments held, organizations receiving independent audits should utilize XXX_Form26_CPA_and_DOAA_Audited_Cash_and_Investments.xls to submit information to SAO supplemental to the information included in their audited financial statements. </t>
  </si>
  <si>
    <t>Opioid Crisis Abatement Trust, Georgia</t>
  </si>
  <si>
    <t>41700_20600</t>
  </si>
  <si>
    <t>Year-end forms | State Accounting Office</t>
  </si>
  <si>
    <t>Note: please click on the FY26 Form Submission Link to submit your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</si>
</sst>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0\-000\-0000"/>
    <numFmt numFmtId="166" formatCode="m/d/yyyy;@"/>
  </numFmts>
  <fonts count="8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0"/>
      <name val="Arial"/>
      <family val="2"/>
    </font>
    <font>
      <sz val="10"/>
      <name val="MS Sans Serif"/>
      <family val="2"/>
    </font>
    <font>
      <b/>
      <sz val="10"/>
      <name val="Times New Roman"/>
      <family val="1"/>
    </font>
    <font>
      <sz val="10"/>
      <name val="Times New Roman"/>
      <family val="1"/>
    </font>
    <font>
      <b/>
      <i/>
      <sz val="10"/>
      <name val="Times New Roman"/>
      <family val="1"/>
    </font>
    <font>
      <b/>
      <u/>
      <sz val="10"/>
      <name val="Times New Roman"/>
      <family val="1"/>
    </font>
    <font>
      <b/>
      <sz val="11"/>
      <name val="Times New Roman"/>
      <family val="1"/>
    </font>
    <font>
      <i/>
      <sz val="10"/>
      <name val="Times New Roman"/>
      <family val="1"/>
    </font>
    <font>
      <b/>
      <u/>
      <sz val="11"/>
      <name val="Times New Roman"/>
      <family val="1"/>
    </font>
    <font>
      <sz val="11"/>
      <name val="Times New Roman"/>
      <family val="1"/>
    </font>
    <font>
      <u/>
      <sz val="10"/>
      <name val="Times New Roman"/>
      <family val="1"/>
    </font>
    <font>
      <b/>
      <sz val="12"/>
      <name val="Times New Roman"/>
      <family val="1"/>
    </font>
    <font>
      <sz val="8"/>
      <color indexed="81"/>
      <name val="Tahoma"/>
      <family val="2"/>
    </font>
    <font>
      <sz val="9"/>
      <color indexed="81"/>
      <name val="Times New Roman"/>
      <family val="1"/>
    </font>
    <font>
      <sz val="10"/>
      <color indexed="81"/>
      <name val="Times New Roman"/>
      <family val="1"/>
    </font>
    <font>
      <sz val="12"/>
      <name val="Times New Roman"/>
      <family val="1"/>
    </font>
    <font>
      <sz val="12"/>
      <color indexed="8"/>
      <name val="Times New Roman"/>
      <family val="1"/>
    </font>
    <font>
      <b/>
      <u/>
      <sz val="12"/>
      <name val="Times New Roman"/>
      <family val="1"/>
    </font>
    <font>
      <i/>
      <sz val="12"/>
      <name val="Times New Roman"/>
      <family val="1"/>
    </font>
    <font>
      <u/>
      <sz val="12"/>
      <name val="Times New Roman"/>
      <family val="1"/>
    </font>
    <font>
      <i/>
      <u/>
      <sz val="12"/>
      <name val="Times New Roman"/>
      <family val="1"/>
    </font>
    <font>
      <u/>
      <sz val="12"/>
      <color indexed="8"/>
      <name val="Times New Roman"/>
      <family val="1"/>
    </font>
    <font>
      <b/>
      <sz val="12"/>
      <color indexed="8"/>
      <name val="Times New Roman"/>
      <family val="1"/>
    </font>
    <font>
      <i/>
      <sz val="12"/>
      <color indexed="8"/>
      <name val="Times New Roman"/>
      <family val="1"/>
    </font>
    <font>
      <b/>
      <sz val="10"/>
      <color indexed="8"/>
      <name val="Times New Roman"/>
      <family val="1"/>
    </font>
    <font>
      <sz val="10"/>
      <color indexed="8"/>
      <name val="Times New Roman"/>
      <family val="1"/>
    </font>
    <font>
      <i/>
      <sz val="10"/>
      <color indexed="8"/>
      <name val="Times New Roman"/>
      <family val="1"/>
    </font>
    <font>
      <u/>
      <sz val="10"/>
      <color indexed="12"/>
      <name val="Times New Roman"/>
      <family val="1"/>
    </font>
    <font>
      <sz val="9"/>
      <name val="Times New Roman"/>
      <family val="1"/>
    </font>
    <font>
      <b/>
      <sz val="10"/>
      <name val="Arial"/>
      <family val="2"/>
    </font>
    <font>
      <b/>
      <sz val="9"/>
      <name val="Times New Roman"/>
      <family val="1"/>
    </font>
    <font>
      <sz val="11"/>
      <color theme="1"/>
      <name val="Calibri"/>
      <family val="2"/>
      <scheme val="minor"/>
    </font>
    <font>
      <b/>
      <sz val="10"/>
      <color rgb="FF0070C0"/>
      <name val="Arial"/>
      <family val="2"/>
    </font>
    <font>
      <b/>
      <sz val="10"/>
      <color rgb="FF7030A0"/>
      <name val="Arial"/>
      <family val="2"/>
    </font>
    <font>
      <b/>
      <sz val="10"/>
      <color rgb="FF00B050"/>
      <name val="Arial"/>
      <family val="2"/>
    </font>
    <font>
      <sz val="10"/>
      <color rgb="FF0070C0"/>
      <name val="Arial"/>
      <family val="2"/>
    </font>
    <font>
      <sz val="10"/>
      <color rgb="FF00B050"/>
      <name val="Arial"/>
      <family val="2"/>
    </font>
    <font>
      <b/>
      <i/>
      <sz val="12"/>
      <color rgb="FF870E00"/>
      <name val="Times New Roman"/>
      <family val="1"/>
    </font>
    <font>
      <b/>
      <sz val="11"/>
      <color theme="9" tint="-0.249977111117893"/>
      <name val="Calibri"/>
      <family val="2"/>
      <scheme val="minor"/>
    </font>
    <font>
      <sz val="10"/>
      <color rgb="FF870E00"/>
      <name val="Times New Roman"/>
      <family val="1"/>
    </font>
    <font>
      <b/>
      <sz val="11"/>
      <color theme="9" tint="-0.249977111117893"/>
      <name val="Times New Roman"/>
      <family val="1"/>
    </font>
    <font>
      <sz val="10"/>
      <color rgb="FFFF0000"/>
      <name val="Times New Roman"/>
      <family val="1"/>
    </font>
    <font>
      <b/>
      <sz val="14"/>
      <color rgb="FF002060"/>
      <name val="Times New Roman"/>
      <family val="1"/>
    </font>
    <font>
      <sz val="10"/>
      <name val="Arial"/>
      <family val="2"/>
    </font>
    <font>
      <b/>
      <u/>
      <sz val="10"/>
      <name val="Arial"/>
      <family val="2"/>
    </font>
    <font>
      <i/>
      <sz val="10"/>
      <color rgb="FF0070C0"/>
      <name val="Times New Roman"/>
      <family val="1"/>
    </font>
    <font>
      <i/>
      <sz val="10"/>
      <color rgb="FF0070C0"/>
      <name val="Arial"/>
      <family val="2"/>
    </font>
    <font>
      <b/>
      <sz val="11"/>
      <color theme="1"/>
      <name val="Calibri"/>
      <family val="2"/>
      <scheme val="minor"/>
    </font>
    <font>
      <sz val="11"/>
      <name val="Calibri"/>
      <family val="2"/>
      <scheme val="minor"/>
    </font>
    <font>
      <sz val="11"/>
      <color rgb="FF0070C0"/>
      <name val="Calibri"/>
      <family val="2"/>
      <scheme val="minor"/>
    </font>
    <font>
      <b/>
      <sz val="11"/>
      <color rgb="FF00B050"/>
      <name val="Calibri"/>
      <family val="2"/>
      <scheme val="minor"/>
    </font>
    <font>
      <sz val="8"/>
      <name val="Arial"/>
      <family val="2"/>
    </font>
    <font>
      <b/>
      <sz val="10"/>
      <color theme="9" tint="-0.249977111117893"/>
      <name val="Calibri"/>
      <family val="2"/>
      <scheme val="minor"/>
    </font>
    <font>
      <b/>
      <sz val="10"/>
      <name val="Calibri"/>
      <family val="2"/>
      <scheme val="minor"/>
    </font>
    <font>
      <sz val="10"/>
      <name val="Calibri"/>
      <family val="2"/>
      <scheme val="minor"/>
    </font>
    <font>
      <b/>
      <sz val="11"/>
      <color rgb="FF7030A0"/>
      <name val="Calibri"/>
      <family val="2"/>
      <scheme val="minor"/>
    </font>
    <font>
      <b/>
      <sz val="11"/>
      <name val="Calibri"/>
      <family val="2"/>
      <scheme val="minor"/>
    </font>
    <font>
      <sz val="11"/>
      <color theme="9" tint="-0.249977111117893"/>
      <name val="Calibri"/>
      <family val="2"/>
      <scheme val="minor"/>
    </font>
    <font>
      <sz val="11"/>
      <color rgb="FF00B050"/>
      <name val="Calibri"/>
      <family val="2"/>
      <scheme val="minor"/>
    </font>
    <font>
      <sz val="11"/>
      <color theme="8" tint="-0.249977111117893"/>
      <name val="Calibri"/>
      <family val="2"/>
      <scheme val="minor"/>
    </font>
    <font>
      <b/>
      <sz val="14"/>
      <color rgb="FFC00000"/>
      <name val="Times New Roman"/>
      <family val="1"/>
    </font>
    <font>
      <sz val="14"/>
      <color rgb="FFC00000"/>
      <name val="Times New Roman"/>
      <family val="1"/>
    </font>
    <font>
      <b/>
      <u/>
      <sz val="12"/>
      <color rgb="FF000000"/>
      <name val="Times New Roman"/>
      <family val="1"/>
    </font>
    <font>
      <u/>
      <sz val="12"/>
      <color rgb="FF000000"/>
      <name val="Times New Roman"/>
      <family val="1"/>
    </font>
    <font>
      <b/>
      <u/>
      <sz val="12"/>
      <color rgb="FF0070C0"/>
      <name val="Times New Roman"/>
      <family val="1"/>
    </font>
    <font>
      <sz val="10"/>
      <color theme="3" tint="0.39997558519241921"/>
      <name val="Arial"/>
      <family val="2"/>
    </font>
    <font>
      <b/>
      <sz val="10"/>
      <color theme="3" tint="0.39997558519241921"/>
      <name val="Arial"/>
      <family val="2"/>
    </font>
    <font>
      <b/>
      <sz val="12"/>
      <color rgb="FF0000FF"/>
      <name val="Times New Roman"/>
      <family val="1"/>
    </font>
    <font>
      <sz val="12"/>
      <color rgb="FF0000FF"/>
      <name val="Times New Roman"/>
      <family val="1"/>
    </font>
    <font>
      <sz val="11"/>
      <color rgb="FF0000FF"/>
      <name val="Times New Roman"/>
      <family val="1"/>
    </font>
    <font>
      <b/>
      <sz val="11"/>
      <color rgb="FF0000FF"/>
      <name val="Times New Roman"/>
      <family val="1"/>
    </font>
    <font>
      <u/>
      <sz val="12"/>
      <color rgb="FF0000FF"/>
      <name val="Times New Roman"/>
      <family val="1"/>
    </font>
    <font>
      <b/>
      <sz val="12"/>
      <name val="Arial"/>
      <family val="2"/>
    </font>
    <font>
      <sz val="10"/>
      <color rgb="FFFF0000"/>
      <name val="Arial"/>
      <family val="2"/>
    </font>
    <font>
      <i/>
      <sz val="12"/>
      <color rgb="FF000000"/>
      <name val="Times New Roman"/>
      <family val="1"/>
    </font>
    <font>
      <b/>
      <u/>
      <sz val="11"/>
      <color theme="1"/>
      <name val="Calibri"/>
      <family val="2"/>
      <scheme val="minor"/>
    </font>
    <font>
      <b/>
      <sz val="12"/>
      <color rgb="FFFF0000"/>
      <name val="Times New Roman"/>
      <family val="1"/>
    </font>
  </fonts>
  <fills count="27">
    <fill>
      <patternFill patternType="none"/>
    </fill>
    <fill>
      <patternFill patternType="gray125"/>
    </fill>
    <fill>
      <patternFill patternType="solid">
        <fgColor indexed="15"/>
        <bgColor indexed="64"/>
      </patternFill>
    </fill>
    <fill>
      <patternFill patternType="solid">
        <fgColor indexed="1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FFCC"/>
        <bgColor indexed="64"/>
      </patternFill>
    </fill>
    <fill>
      <patternFill patternType="solid">
        <fgColor theme="4"/>
        <bgColor indexed="64"/>
      </patternFill>
    </fill>
    <fill>
      <patternFill patternType="solid">
        <fgColor theme="7"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EAEAEA"/>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CCFF"/>
        <bgColor indexed="64"/>
      </patternFill>
    </fill>
    <fill>
      <patternFill patternType="solid">
        <fgColor rgb="FFFF3399"/>
        <bgColor indexed="64"/>
      </patternFill>
    </fill>
    <fill>
      <patternFill patternType="solid">
        <fgColor rgb="FFFF99FF"/>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8" tint="0.79998168889431442"/>
        <bgColor theme="8" tint="0.79998168889431442"/>
      </patternFill>
    </fill>
  </fills>
  <borders count="8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10"/>
      </left>
      <right style="medium">
        <color indexed="10"/>
      </right>
      <top style="medium">
        <color indexed="10"/>
      </top>
      <bottom style="medium">
        <color indexed="10"/>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right/>
      <top/>
      <bottom style="thin">
        <color theme="8" tint="0.39997558519241921"/>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33">
    <xf numFmtId="0" fontId="0" fillId="0" borderId="0"/>
    <xf numFmtId="43" fontId="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xf numFmtId="0" fontId="41" fillId="0" borderId="0"/>
    <xf numFmtId="0" fontId="10" fillId="0" borderId="0"/>
    <xf numFmtId="0" fontId="13" fillId="0" borderId="0"/>
    <xf numFmtId="0" fontId="10" fillId="0" borderId="0"/>
    <xf numFmtId="0" fontId="41" fillId="0" borderId="0"/>
    <xf numFmtId="0" fontId="10" fillId="0" borderId="0"/>
    <xf numFmtId="0" fontId="10" fillId="0" borderId="0"/>
    <xf numFmtId="0" fontId="10" fillId="0" borderId="0"/>
    <xf numFmtId="9" fontId="13" fillId="0" borderId="0" applyFont="0" applyFill="0" applyBorder="0" applyAlignment="0" applyProtection="0"/>
    <xf numFmtId="4" fontId="11"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8" fillId="0" borderId="0"/>
    <xf numFmtId="0" fontId="10" fillId="0" borderId="0"/>
    <xf numFmtId="0" fontId="10" fillId="0" borderId="0"/>
    <xf numFmtId="0" fontId="6" fillId="0" borderId="0"/>
    <xf numFmtId="0" fontId="3" fillId="0" borderId="0"/>
    <xf numFmtId="0" fontId="1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0" fillId="0" borderId="0"/>
  </cellStyleXfs>
  <cellXfs count="578">
    <xf numFmtId="0" fontId="0" fillId="0" borderId="0" xfId="0"/>
    <xf numFmtId="0" fontId="13" fillId="0" borderId="0" xfId="14" applyFont="1"/>
    <xf numFmtId="0" fontId="13" fillId="0" borderId="0" xfId="14" applyFont="1" applyAlignment="1">
      <alignment horizontal="center"/>
    </xf>
    <xf numFmtId="0" fontId="13" fillId="0" borderId="1" xfId="14" applyFont="1" applyBorder="1"/>
    <xf numFmtId="0" fontId="13" fillId="0" borderId="2" xfId="14" applyFont="1" applyBorder="1"/>
    <xf numFmtId="0" fontId="13" fillId="0" borderId="3" xfId="14" applyFont="1" applyBorder="1"/>
    <xf numFmtId="0" fontId="13" fillId="0" borderId="4" xfId="14" applyFont="1" applyBorder="1" applyAlignment="1">
      <alignment horizontal="center"/>
    </xf>
    <xf numFmtId="0" fontId="13" fillId="0" borderId="5" xfId="14" applyFont="1" applyBorder="1" applyAlignment="1">
      <alignment horizontal="center"/>
    </xf>
    <xf numFmtId="0" fontId="14" fillId="0" borderId="0" xfId="14" applyFont="1"/>
    <xf numFmtId="0" fontId="13" fillId="0" borderId="4" xfId="14" applyFont="1" applyBorder="1"/>
    <xf numFmtId="0" fontId="13" fillId="0" borderId="6" xfId="14" applyFont="1" applyBorder="1" applyAlignment="1">
      <alignment horizontal="center"/>
    </xf>
    <xf numFmtId="0" fontId="13" fillId="0" borderId="7" xfId="14" applyFont="1" applyBorder="1" applyAlignment="1">
      <alignment horizontal="center"/>
    </xf>
    <xf numFmtId="0" fontId="13" fillId="0" borderId="5" xfId="14" applyFont="1" applyBorder="1"/>
    <xf numFmtId="0" fontId="13" fillId="0" borderId="8" xfId="14" applyFont="1" applyBorder="1"/>
    <xf numFmtId="0" fontId="13" fillId="0" borderId="0" xfId="0" applyFont="1" applyAlignment="1" applyProtection="1">
      <alignment horizontal="left"/>
      <protection locked="0"/>
    </xf>
    <xf numFmtId="0" fontId="15" fillId="0" borderId="0" xfId="0" applyFont="1" applyAlignment="1" applyProtection="1">
      <alignment horizontal="center"/>
      <protection locked="0"/>
    </xf>
    <xf numFmtId="39" fontId="15" fillId="0" borderId="0" xfId="0" applyNumberFormat="1" applyFont="1" applyAlignment="1" applyProtection="1">
      <alignment horizontal="center"/>
      <protection locked="0"/>
    </xf>
    <xf numFmtId="0" fontId="13" fillId="0" borderId="0" xfId="14" applyFont="1" applyProtection="1">
      <protection locked="0"/>
    </xf>
    <xf numFmtId="39" fontId="13" fillId="0" borderId="0" xfId="14" applyNumberFormat="1" applyFont="1" applyProtection="1">
      <protection locked="0"/>
    </xf>
    <xf numFmtId="39" fontId="13" fillId="0" borderId="0" xfId="14" applyNumberFormat="1" applyFont="1" applyAlignment="1" applyProtection="1">
      <alignment horizontal="center"/>
      <protection locked="0"/>
    </xf>
    <xf numFmtId="0" fontId="13" fillId="0" borderId="10" xfId="0" applyFont="1" applyBorder="1" applyAlignment="1" applyProtection="1">
      <alignment horizontal="left"/>
      <protection locked="0"/>
    </xf>
    <xf numFmtId="0" fontId="13" fillId="0" borderId="11" xfId="14" applyFont="1" applyBorder="1" applyProtection="1">
      <protection locked="0"/>
    </xf>
    <xf numFmtId="0" fontId="13" fillId="0" borderId="12" xfId="14" applyFont="1" applyBorder="1" applyProtection="1">
      <protection locked="0"/>
    </xf>
    <xf numFmtId="39" fontId="13" fillId="0" borderId="11" xfId="14" applyNumberFormat="1" applyFont="1" applyBorder="1" applyProtection="1">
      <protection locked="0"/>
    </xf>
    <xf numFmtId="0" fontId="13" fillId="0" borderId="13" xfId="14" applyFont="1" applyBorder="1" applyProtection="1">
      <protection locked="0"/>
    </xf>
    <xf numFmtId="39" fontId="13" fillId="0" borderId="13" xfId="14" applyNumberFormat="1" applyFont="1" applyBorder="1" applyProtection="1">
      <protection locked="0"/>
    </xf>
    <xf numFmtId="39" fontId="13" fillId="0" borderId="10" xfId="14" applyNumberFormat="1" applyFont="1" applyBorder="1" applyProtection="1">
      <protection locked="0"/>
    </xf>
    <xf numFmtId="0" fontId="13" fillId="0" borderId="0" xfId="14" applyFont="1" applyAlignment="1" applyProtection="1">
      <alignment horizontal="center"/>
      <protection locked="0"/>
    </xf>
    <xf numFmtId="0" fontId="15" fillId="0" borderId="0" xfId="0" applyFont="1" applyAlignment="1">
      <alignment horizontal="center"/>
    </xf>
    <xf numFmtId="0" fontId="13" fillId="0" borderId="0" xfId="0" quotePrefix="1" applyFont="1" applyAlignment="1" applyProtection="1">
      <alignment horizontal="left"/>
      <protection locked="0"/>
    </xf>
    <xf numFmtId="39" fontId="13" fillId="0" borderId="0" xfId="0" applyNumberFormat="1" applyFont="1" applyProtection="1">
      <protection locked="0"/>
    </xf>
    <xf numFmtId="39" fontId="13" fillId="0" borderId="0" xfId="0" applyNumberFormat="1" applyFont="1" applyAlignment="1" applyProtection="1">
      <alignment horizontal="left"/>
      <protection locked="0"/>
    </xf>
    <xf numFmtId="39" fontId="12" fillId="0" borderId="0" xfId="0" applyNumberFormat="1" applyFont="1" applyProtection="1">
      <protection locked="0"/>
    </xf>
    <xf numFmtId="0" fontId="13" fillId="0" borderId="10" xfId="14" applyFont="1" applyBorder="1" applyProtection="1">
      <protection locked="0"/>
    </xf>
    <xf numFmtId="0" fontId="13" fillId="0" borderId="9" xfId="14" applyFont="1" applyBorder="1" applyProtection="1">
      <protection locked="0"/>
    </xf>
    <xf numFmtId="39" fontId="13" fillId="0" borderId="0" xfId="14" applyNumberFormat="1" applyFont="1" applyAlignment="1" applyProtection="1">
      <alignment horizontal="right"/>
      <protection locked="0"/>
    </xf>
    <xf numFmtId="0" fontId="13" fillId="0" borderId="9" xfId="14" quotePrefix="1" applyFont="1" applyBorder="1" applyProtection="1">
      <protection locked="0"/>
    </xf>
    <xf numFmtId="0" fontId="13" fillId="0" borderId="2" xfId="14" applyFont="1" applyBorder="1" applyAlignment="1">
      <alignment horizontal="center"/>
    </xf>
    <xf numFmtId="0" fontId="19" fillId="0" borderId="22" xfId="14" applyFont="1" applyBorder="1"/>
    <xf numFmtId="0" fontId="13" fillId="0" borderId="9" xfId="14" applyFont="1" applyBorder="1"/>
    <xf numFmtId="0" fontId="13" fillId="0" borderId="23" xfId="14" applyFont="1" applyBorder="1"/>
    <xf numFmtId="39" fontId="13" fillId="0" borderId="14" xfId="14" applyNumberFormat="1" applyFont="1" applyBorder="1" applyAlignment="1" applyProtection="1">
      <alignment horizontal="right"/>
      <protection locked="0"/>
    </xf>
    <xf numFmtId="0" fontId="20" fillId="0" borderId="0" xfId="14" applyFont="1"/>
    <xf numFmtId="0" fontId="25" fillId="0" borderId="0" xfId="14" applyFont="1"/>
    <xf numFmtId="0" fontId="21" fillId="0" borderId="0" xfId="14" applyFont="1"/>
    <xf numFmtId="0" fontId="25" fillId="0" borderId="0" xfId="14" quotePrefix="1" applyFont="1"/>
    <xf numFmtId="0" fontId="21" fillId="0" borderId="0" xfId="14" applyFont="1" applyAlignment="1">
      <alignment vertical="top" wrapText="1"/>
    </xf>
    <xf numFmtId="0" fontId="21" fillId="0" borderId="0" xfId="14" applyFont="1" applyAlignment="1">
      <alignment vertical="top"/>
    </xf>
    <xf numFmtId="0" fontId="25" fillId="0" borderId="0" xfId="14" applyFont="1" applyAlignment="1">
      <alignment vertical="top"/>
    </xf>
    <xf numFmtId="164" fontId="26" fillId="0" borderId="0" xfId="0" applyNumberFormat="1" applyFont="1" applyAlignment="1">
      <alignment horizontal="left"/>
    </xf>
    <xf numFmtId="0" fontId="26" fillId="0" borderId="0" xfId="5" applyFont="1" applyFill="1" applyAlignment="1" applyProtection="1">
      <alignment vertical="top"/>
    </xf>
    <xf numFmtId="0" fontId="15" fillId="0" borderId="0" xfId="14" applyFont="1"/>
    <xf numFmtId="0" fontId="13" fillId="0" borderId="26" xfId="14" applyFont="1" applyBorder="1"/>
    <xf numFmtId="0" fontId="28" fillId="0" borderId="0" xfId="14" applyFont="1"/>
    <xf numFmtId="0" fontId="29" fillId="0" borderId="0" xfId="14" applyFont="1"/>
    <xf numFmtId="0" fontId="13" fillId="0" borderId="0" xfId="0" applyFont="1"/>
    <xf numFmtId="0" fontId="25" fillId="0" borderId="0" xfId="14" applyFont="1" applyAlignment="1">
      <alignment horizontal="left" vertical="top"/>
    </xf>
    <xf numFmtId="0" fontId="13" fillId="0" borderId="0" xfId="14" applyFont="1" applyAlignment="1">
      <alignment vertical="top"/>
    </xf>
    <xf numFmtId="0" fontId="25" fillId="0" borderId="0" xfId="14" quotePrefix="1" applyFont="1" applyAlignment="1">
      <alignment vertical="top"/>
    </xf>
    <xf numFmtId="0" fontId="15" fillId="0" borderId="0" xfId="0" applyFont="1"/>
    <xf numFmtId="0" fontId="38" fillId="0" borderId="0" xfId="0" applyFont="1" applyProtection="1">
      <protection locked="0"/>
    </xf>
    <xf numFmtId="0" fontId="26" fillId="0" borderId="0" xfId="0" applyFont="1" applyAlignment="1">
      <alignment horizontal="justify" vertical="top" readingOrder="1"/>
    </xf>
    <xf numFmtId="0" fontId="26" fillId="0" borderId="0" xfId="0" applyFont="1" applyAlignment="1">
      <alignment horizontal="justify" vertical="top" wrapText="1" readingOrder="1"/>
    </xf>
    <xf numFmtId="0" fontId="13" fillId="0" borderId="0" xfId="7" applyFont="1" applyAlignment="1">
      <alignment vertical="top"/>
    </xf>
    <xf numFmtId="0" fontId="25" fillId="0" borderId="0" xfId="14" applyFont="1" applyAlignment="1">
      <alignment vertical="top" wrapText="1"/>
    </xf>
    <xf numFmtId="0" fontId="28" fillId="0" borderId="0" xfId="0" applyFont="1"/>
    <xf numFmtId="0" fontId="13" fillId="0" borderId="14" xfId="7" applyFont="1" applyBorder="1" applyAlignment="1" applyProtection="1">
      <alignment vertical="top"/>
      <protection locked="0"/>
    </xf>
    <xf numFmtId="0" fontId="25" fillId="0" borderId="0" xfId="14" applyFont="1" applyAlignment="1">
      <alignment horizontal="left" vertical="top" wrapText="1"/>
    </xf>
    <xf numFmtId="0" fontId="12" fillId="0" borderId="0" xfId="14" applyFont="1" applyAlignment="1" applyProtection="1">
      <alignment horizontal="center"/>
      <protection locked="0"/>
    </xf>
    <xf numFmtId="0" fontId="13" fillId="0" borderId="0" xfId="7" applyFont="1" applyAlignment="1" applyProtection="1">
      <alignment wrapText="1"/>
      <protection locked="0"/>
    </xf>
    <xf numFmtId="0" fontId="19" fillId="0" borderId="0" xfId="7" applyFont="1" applyAlignment="1" applyProtection="1">
      <alignment wrapText="1"/>
      <protection locked="0"/>
    </xf>
    <xf numFmtId="0" fontId="15" fillId="0" borderId="0" xfId="0" applyFont="1" applyProtection="1">
      <protection locked="0"/>
    </xf>
    <xf numFmtId="39" fontId="13" fillId="0" borderId="0" xfId="14" quotePrefix="1" applyNumberFormat="1" applyFont="1" applyAlignment="1" applyProtection="1">
      <alignment horizontal="center"/>
      <protection locked="0"/>
    </xf>
    <xf numFmtId="0" fontId="13" fillId="0" borderId="0" xfId="7" applyFont="1" applyAlignment="1">
      <alignment vertical="top" wrapText="1"/>
    </xf>
    <xf numFmtId="164" fontId="26" fillId="0" borderId="0" xfId="0" quotePrefix="1" applyNumberFormat="1" applyFont="1" applyAlignment="1">
      <alignment vertical="top" wrapText="1"/>
    </xf>
    <xf numFmtId="164" fontId="26" fillId="0" borderId="0" xfId="0" quotePrefix="1" applyNumberFormat="1" applyFont="1" applyAlignment="1">
      <alignment horizontal="left" vertical="top" wrapText="1"/>
    </xf>
    <xf numFmtId="0" fontId="13" fillId="0" borderId="0" xfId="0" applyFont="1" applyAlignment="1" applyProtection="1">
      <alignment horizontal="center"/>
      <protection locked="0"/>
    </xf>
    <xf numFmtId="0" fontId="40" fillId="0" borderId="0" xfId="0" applyFont="1" applyProtection="1">
      <protection locked="0"/>
    </xf>
    <xf numFmtId="0" fontId="16" fillId="2" borderId="0" xfId="14" applyFont="1" applyFill="1" applyProtection="1">
      <protection locked="0"/>
    </xf>
    <xf numFmtId="0" fontId="15" fillId="2" borderId="0" xfId="0" applyFont="1" applyFill="1" applyAlignment="1" applyProtection="1">
      <alignment horizontal="center"/>
      <protection locked="0"/>
    </xf>
    <xf numFmtId="0" fontId="12" fillId="0" borderId="0" xfId="0" quotePrefix="1" applyFont="1" applyAlignment="1" applyProtection="1">
      <alignment horizontal="center"/>
      <protection locked="0"/>
    </xf>
    <xf numFmtId="0" fontId="12" fillId="0" borderId="0" xfId="14" applyFont="1" applyProtection="1">
      <protection locked="0"/>
    </xf>
    <xf numFmtId="0" fontId="12" fillId="0" borderId="0" xfId="14" quotePrefix="1" applyFont="1" applyAlignment="1" applyProtection="1">
      <alignment vertical="top"/>
      <protection locked="0"/>
    </xf>
    <xf numFmtId="39" fontId="13" fillId="0" borderId="10" xfId="14" applyNumberFormat="1" applyFont="1" applyBorder="1" applyAlignment="1" applyProtection="1">
      <alignment horizontal="center"/>
      <protection locked="0"/>
    </xf>
    <xf numFmtId="0" fontId="12" fillId="0" borderId="0" xfId="14" quotePrefix="1" applyFont="1" applyAlignment="1" applyProtection="1">
      <alignment horizontal="center"/>
      <protection locked="0"/>
    </xf>
    <xf numFmtId="0" fontId="12" fillId="0" borderId="0" xfId="14" quotePrefix="1" applyFont="1" applyProtection="1">
      <protection locked="0"/>
    </xf>
    <xf numFmtId="0" fontId="16" fillId="0" borderId="0" xfId="14" applyFont="1" applyProtection="1">
      <protection locked="0"/>
    </xf>
    <xf numFmtId="0" fontId="0" fillId="0" borderId="0" xfId="0" applyAlignment="1">
      <alignment horizontal="left"/>
    </xf>
    <xf numFmtId="0" fontId="10" fillId="0" borderId="0" xfId="0" applyFont="1"/>
    <xf numFmtId="0" fontId="10" fillId="0" borderId="0" xfId="9"/>
    <xf numFmtId="0" fontId="10" fillId="0" borderId="0" xfId="9" applyAlignment="1">
      <alignment horizontal="left"/>
    </xf>
    <xf numFmtId="0" fontId="25" fillId="0" borderId="0" xfId="0" applyFont="1" applyAlignment="1">
      <alignment horizontal="justify" wrapText="1"/>
    </xf>
    <xf numFmtId="0" fontId="25" fillId="0" borderId="0" xfId="0" applyFont="1" applyAlignment="1">
      <alignment horizontal="justify" wrapText="1" readingOrder="1"/>
    </xf>
    <xf numFmtId="0" fontId="16" fillId="0" borderId="0" xfId="15" applyFont="1" applyProtection="1">
      <protection locked="0"/>
    </xf>
    <xf numFmtId="0" fontId="42" fillId="0" borderId="10" xfId="9" applyFont="1" applyBorder="1"/>
    <xf numFmtId="0" fontId="44" fillId="0" borderId="10" xfId="9" applyFont="1" applyBorder="1"/>
    <xf numFmtId="0" fontId="39" fillId="0" borderId="10" xfId="9" applyFont="1" applyBorder="1"/>
    <xf numFmtId="0" fontId="45" fillId="0" borderId="0" xfId="9" applyFont="1"/>
    <xf numFmtId="0" fontId="43" fillId="0" borderId="0" xfId="9" applyFont="1"/>
    <xf numFmtId="2" fontId="46" fillId="0" borderId="0" xfId="2" applyNumberFormat="1" applyFont="1" applyProtection="1"/>
    <xf numFmtId="0" fontId="46" fillId="0" borderId="0" xfId="9" applyFont="1" applyAlignment="1">
      <alignment horizontal="left"/>
    </xf>
    <xf numFmtId="43" fontId="46" fillId="0" borderId="0" xfId="2" applyFont="1" applyAlignment="1" applyProtection="1">
      <alignment horizontal="right"/>
    </xf>
    <xf numFmtId="0" fontId="10" fillId="0" borderId="0" xfId="0" applyFont="1" applyAlignment="1">
      <alignment horizontal="left"/>
    </xf>
    <xf numFmtId="0" fontId="47" fillId="0" borderId="0" xfId="7" applyFont="1"/>
    <xf numFmtId="0" fontId="21" fillId="0" borderId="0" xfId="7" applyFont="1" applyAlignment="1">
      <alignment vertical="top"/>
    </xf>
    <xf numFmtId="0" fontId="10" fillId="0" borderId="0" xfId="7"/>
    <xf numFmtId="0" fontId="10" fillId="0" borderId="0" xfId="13"/>
    <xf numFmtId="0" fontId="13" fillId="0" borderId="0" xfId="7" applyFont="1" applyAlignment="1" applyProtection="1">
      <alignment vertical="top"/>
      <protection locked="0"/>
    </xf>
    <xf numFmtId="39" fontId="13" fillId="0" borderId="10" xfId="0" applyNumberFormat="1" applyFont="1" applyBorder="1" applyAlignment="1">
      <alignment horizontal="right"/>
    </xf>
    <xf numFmtId="39" fontId="13" fillId="0" borderId="10" xfId="14" applyNumberFormat="1" applyFont="1" applyBorder="1"/>
    <xf numFmtId="39" fontId="13" fillId="0" borderId="28" xfId="14" applyNumberFormat="1" applyFont="1" applyBorder="1"/>
    <xf numFmtId="2" fontId="46" fillId="0" borderId="0" xfId="2" applyNumberFormat="1" applyFont="1" applyProtection="1">
      <protection locked="0"/>
    </xf>
    <xf numFmtId="0" fontId="49" fillId="0" borderId="0" xfId="0" applyFont="1"/>
    <xf numFmtId="0" fontId="49" fillId="0" borderId="0" xfId="0" applyFont="1" applyAlignment="1" applyProtection="1">
      <alignment horizontal="left"/>
      <protection locked="0"/>
    </xf>
    <xf numFmtId="0" fontId="37" fillId="0" borderId="0" xfId="5" applyFont="1" applyFill="1" applyAlignment="1" applyProtection="1"/>
    <xf numFmtId="0" fontId="13" fillId="4" borderId="10" xfId="0" applyFont="1" applyFill="1" applyBorder="1" applyAlignment="1">
      <alignment horizontal="left"/>
    </xf>
    <xf numFmtId="0" fontId="13" fillId="4" borderId="10" xfId="0" applyFont="1" applyFill="1" applyBorder="1"/>
    <xf numFmtId="0" fontId="50" fillId="4" borderId="10" xfId="0" applyFont="1" applyFill="1" applyBorder="1"/>
    <xf numFmtId="0" fontId="50" fillId="4" borderId="10" xfId="0" applyFont="1" applyFill="1" applyBorder="1" applyAlignment="1">
      <alignment horizontal="right"/>
    </xf>
    <xf numFmtId="0" fontId="13" fillId="0" borderId="0" xfId="0" applyFont="1" applyAlignment="1">
      <alignment horizontal="left"/>
    </xf>
    <xf numFmtId="0" fontId="13" fillId="0" borderId="0" xfId="0" applyFont="1" applyAlignment="1">
      <alignment horizontal="right"/>
    </xf>
    <xf numFmtId="0" fontId="13" fillId="0" borderId="29" xfId="0" applyFont="1" applyBorder="1" applyProtection="1">
      <protection locked="0"/>
    </xf>
    <xf numFmtId="0" fontId="12" fillId="0" borderId="0" xfId="0" applyFont="1" applyProtection="1">
      <protection locked="0"/>
    </xf>
    <xf numFmtId="0" fontId="13" fillId="0" borderId="0" xfId="14" applyFont="1" applyAlignment="1">
      <alignment wrapText="1"/>
    </xf>
    <xf numFmtId="0" fontId="13" fillId="0" borderId="0" xfId="14" applyFont="1" applyAlignment="1" applyProtection="1">
      <alignment horizontal="left" wrapText="1"/>
      <protection locked="0"/>
    </xf>
    <xf numFmtId="0" fontId="13" fillId="0" borderId="0" xfId="14" quotePrefix="1" applyFont="1" applyProtection="1">
      <protection locked="0"/>
    </xf>
    <xf numFmtId="0" fontId="52" fillId="0" borderId="0" xfId="14" applyFont="1" applyAlignment="1">
      <alignment vertical="top"/>
    </xf>
    <xf numFmtId="0" fontId="52" fillId="0" borderId="0" xfId="14" applyFont="1" applyAlignment="1">
      <alignment vertical="top" wrapText="1"/>
    </xf>
    <xf numFmtId="0" fontId="52" fillId="0" borderId="0" xfId="14" applyFont="1" applyAlignment="1" applyProtection="1">
      <alignment vertical="top"/>
      <protection locked="0"/>
    </xf>
    <xf numFmtId="39" fontId="51" fillId="0" borderId="0" xfId="14" applyNumberFormat="1" applyFont="1" applyProtection="1">
      <protection locked="0"/>
    </xf>
    <xf numFmtId="39" fontId="13" fillId="0" borderId="0" xfId="0" applyNumberFormat="1" applyFont="1" applyAlignment="1" applyProtection="1">
      <alignment horizontal="center"/>
      <protection locked="0"/>
    </xf>
    <xf numFmtId="0" fontId="13" fillId="0" borderId="9" xfId="0" applyFont="1" applyBorder="1" applyProtection="1">
      <protection locked="0"/>
    </xf>
    <xf numFmtId="0" fontId="13" fillId="0" borderId="3" xfId="14" applyFont="1" applyBorder="1" applyProtection="1">
      <protection locked="0"/>
    </xf>
    <xf numFmtId="0" fontId="13" fillId="0" borderId="3" xfId="14" applyFont="1" applyBorder="1" applyAlignment="1" applyProtection="1">
      <alignment horizontal="left" wrapText="1"/>
      <protection locked="0"/>
    </xf>
    <xf numFmtId="0" fontId="16" fillId="0" borderId="0" xfId="14" applyFont="1" applyAlignment="1">
      <alignment horizontal="right"/>
    </xf>
    <xf numFmtId="0" fontId="39" fillId="0" borderId="0" xfId="0" applyFont="1" applyAlignment="1">
      <alignment horizontal="left" wrapText="1"/>
    </xf>
    <xf numFmtId="0" fontId="39" fillId="0" borderId="0" xfId="0" applyFont="1" applyAlignment="1">
      <alignment wrapText="1"/>
    </xf>
    <xf numFmtId="0" fontId="17" fillId="0" borderId="19" xfId="14" applyFont="1" applyBorder="1" applyAlignment="1">
      <alignment horizontal="center"/>
    </xf>
    <xf numFmtId="0" fontId="17" fillId="0" borderId="5" xfId="14" applyFont="1" applyBorder="1" applyAlignment="1">
      <alignment horizontal="center"/>
    </xf>
    <xf numFmtId="43" fontId="12" fillId="0" borderId="0" xfId="19" applyFont="1" applyBorder="1" applyProtection="1"/>
    <xf numFmtId="43" fontId="39" fillId="0" borderId="0" xfId="19" applyFont="1"/>
    <xf numFmtId="0" fontId="0" fillId="0" borderId="0" xfId="0" applyProtection="1">
      <protection locked="0"/>
    </xf>
    <xf numFmtId="43" fontId="0" fillId="0" borderId="0" xfId="19" applyFont="1" applyProtection="1">
      <protection locked="0"/>
    </xf>
    <xf numFmtId="0" fontId="0" fillId="0" borderId="0" xfId="19" applyNumberFormat="1" applyFont="1" applyProtection="1">
      <protection locked="0"/>
    </xf>
    <xf numFmtId="0" fontId="26" fillId="0" borderId="0" xfId="0" applyFont="1" applyAlignment="1">
      <alignment horizontal="left" vertical="top" wrapText="1" readingOrder="1"/>
    </xf>
    <xf numFmtId="43" fontId="12" fillId="0" borderId="0" xfId="19" applyFont="1" applyBorder="1" applyAlignment="1" applyProtection="1">
      <alignment horizontal="center"/>
    </xf>
    <xf numFmtId="0" fontId="17" fillId="0" borderId="0" xfId="14" applyFont="1" applyProtection="1">
      <protection locked="0"/>
    </xf>
    <xf numFmtId="0" fontId="17" fillId="0" borderId="0" xfId="14" applyFont="1"/>
    <xf numFmtId="0" fontId="13" fillId="0" borderId="37" xfId="0" applyFont="1" applyBorder="1" applyProtection="1">
      <protection locked="0"/>
    </xf>
    <xf numFmtId="0" fontId="10" fillId="0" borderId="0" xfId="0" applyFont="1" applyAlignment="1">
      <alignment wrapText="1"/>
    </xf>
    <xf numFmtId="39" fontId="13" fillId="0" borderId="10" xfId="14" applyNumberFormat="1" applyFont="1" applyBorder="1" applyAlignment="1" applyProtection="1">
      <alignment horizontal="right"/>
      <protection locked="0"/>
    </xf>
    <xf numFmtId="0" fontId="55" fillId="0" borderId="9" xfId="14" applyFont="1" applyBorder="1"/>
    <xf numFmtId="0" fontId="55" fillId="0" borderId="9" xfId="14" quotePrefix="1" applyFont="1" applyBorder="1"/>
    <xf numFmtId="39" fontId="55" fillId="0" borderId="14" xfId="14" applyNumberFormat="1" applyFont="1" applyBorder="1" applyAlignment="1">
      <alignment horizontal="right"/>
    </xf>
    <xf numFmtId="43" fontId="0" fillId="0" borderId="10" xfId="19" applyFont="1" applyBorder="1" applyProtection="1">
      <protection locked="0"/>
    </xf>
    <xf numFmtId="0" fontId="56" fillId="0" borderId="0" xfId="0" applyFont="1"/>
    <xf numFmtId="43" fontId="56" fillId="0" borderId="0" xfId="19" applyFont="1" applyProtection="1"/>
    <xf numFmtId="0" fontId="56" fillId="0" borderId="0" xfId="19" applyNumberFormat="1" applyFont="1" applyProtection="1"/>
    <xf numFmtId="166" fontId="13" fillId="0" borderId="0" xfId="14" applyNumberFormat="1" applyFont="1" applyProtection="1">
      <protection locked="0"/>
    </xf>
    <xf numFmtId="0" fontId="13" fillId="0" borderId="4" xfId="14" applyFont="1" applyBorder="1" applyProtection="1">
      <protection locked="0"/>
    </xf>
    <xf numFmtId="164" fontId="26" fillId="0" borderId="0" xfId="0" quotePrefix="1" applyNumberFormat="1" applyFont="1" applyAlignment="1">
      <alignment horizontal="left"/>
    </xf>
    <xf numFmtId="0" fontId="16" fillId="0" borderId="0" xfId="15" applyFont="1"/>
    <xf numFmtId="0" fontId="10" fillId="0" borderId="0" xfId="0" applyFont="1" applyProtection="1">
      <protection locked="0"/>
    </xf>
    <xf numFmtId="0" fontId="13" fillId="6" borderId="0" xfId="14" applyFont="1" applyFill="1"/>
    <xf numFmtId="0" fontId="8" fillId="0" borderId="0" xfId="20"/>
    <xf numFmtId="0" fontId="10" fillId="8" borderId="0" xfId="7" applyFill="1"/>
    <xf numFmtId="0" fontId="57" fillId="0" borderId="0" xfId="20" applyFont="1"/>
    <xf numFmtId="0" fontId="59" fillId="8" borderId="0" xfId="20" applyFont="1" applyFill="1"/>
    <xf numFmtId="0" fontId="13" fillId="6" borderId="0" xfId="14" applyFont="1" applyFill="1" applyProtection="1">
      <protection locked="0"/>
    </xf>
    <xf numFmtId="0" fontId="8" fillId="0" borderId="14" xfId="20" applyBorder="1"/>
    <xf numFmtId="0" fontId="8" fillId="0" borderId="14" xfId="20" applyBorder="1" applyAlignment="1">
      <alignment horizontal="center"/>
    </xf>
    <xf numFmtId="0" fontId="8" fillId="0" borderId="22" xfId="20" applyBorder="1"/>
    <xf numFmtId="0" fontId="8" fillId="0" borderId="23" xfId="20" applyBorder="1"/>
    <xf numFmtId="0" fontId="8" fillId="0" borderId="0" xfId="20" applyAlignment="1">
      <alignment vertical="center"/>
    </xf>
    <xf numFmtId="0" fontId="8" fillId="0" borderId="14" xfId="20" applyBorder="1" applyAlignment="1">
      <alignment horizontal="center" vertical="center"/>
    </xf>
    <xf numFmtId="0" fontId="8" fillId="0" borderId="1" xfId="20" applyBorder="1"/>
    <xf numFmtId="0" fontId="8" fillId="0" borderId="3" xfId="20" applyBorder="1" applyAlignment="1">
      <alignment vertical="center"/>
    </xf>
    <xf numFmtId="0" fontId="8" fillId="0" borderId="16" xfId="20" applyBorder="1"/>
    <xf numFmtId="0" fontId="55" fillId="0" borderId="7" xfId="14" applyFont="1" applyBorder="1"/>
    <xf numFmtId="0" fontId="8" fillId="5" borderId="0" xfId="20" applyFill="1"/>
    <xf numFmtId="0" fontId="58" fillId="0" borderId="0" xfId="22" applyFont="1"/>
    <xf numFmtId="0" fontId="59" fillId="0" borderId="0" xfId="20" applyFont="1"/>
    <xf numFmtId="0" fontId="7" fillId="0" borderId="0" xfId="20" applyFont="1"/>
    <xf numFmtId="0" fontId="10" fillId="10" borderId="0" xfId="0" applyFont="1" applyFill="1"/>
    <xf numFmtId="0" fontId="10" fillId="14" borderId="0" xfId="0" applyFont="1" applyFill="1"/>
    <xf numFmtId="0" fontId="5" fillId="0" borderId="0" xfId="20" applyFont="1"/>
    <xf numFmtId="0" fontId="60" fillId="0" borderId="10" xfId="7" applyFont="1" applyBorder="1"/>
    <xf numFmtId="0" fontId="4" fillId="0" borderId="0" xfId="20" applyFont="1"/>
    <xf numFmtId="0" fontId="4" fillId="9" borderId="0" xfId="20" applyFont="1" applyFill="1"/>
    <xf numFmtId="0" fontId="8" fillId="9" borderId="0" xfId="20" applyFill="1"/>
    <xf numFmtId="0" fontId="48" fillId="0" borderId="10" xfId="0" applyFont="1" applyBorder="1"/>
    <xf numFmtId="0" fontId="48" fillId="0" borderId="0" xfId="0" applyFont="1"/>
    <xf numFmtId="0" fontId="62" fillId="0" borderId="10" xfId="7" applyFont="1" applyBorder="1" applyAlignment="1">
      <alignment horizontal="left"/>
    </xf>
    <xf numFmtId="0" fontId="58" fillId="0" borderId="0" xfId="0" applyFont="1"/>
    <xf numFmtId="0" fontId="63" fillId="0" borderId="0" xfId="7" applyFont="1" applyAlignment="1">
      <alignment horizontal="left"/>
    </xf>
    <xf numFmtId="0" fontId="64" fillId="13" borderId="0" xfId="7" applyFont="1" applyFill="1"/>
    <xf numFmtId="0" fontId="64" fillId="13" borderId="0" xfId="0" applyFont="1" applyFill="1"/>
    <xf numFmtId="0" fontId="64" fillId="7" borderId="0" xfId="7" applyFont="1" applyFill="1"/>
    <xf numFmtId="0" fontId="64" fillId="8" borderId="0" xfId="7" applyFont="1" applyFill="1"/>
    <xf numFmtId="0" fontId="64" fillId="12" borderId="0" xfId="7" applyFont="1" applyFill="1"/>
    <xf numFmtId="0" fontId="58" fillId="0" borderId="0" xfId="22" applyFont="1" applyAlignment="1">
      <alignment horizontal="right"/>
    </xf>
    <xf numFmtId="0" fontId="58" fillId="0" borderId="10" xfId="7" applyFont="1" applyBorder="1"/>
    <xf numFmtId="0" fontId="60" fillId="0" borderId="10" xfId="7" applyFont="1" applyBorder="1" applyAlignment="1">
      <alignment horizontal="left"/>
    </xf>
    <xf numFmtId="0" fontId="58" fillId="0" borderId="0" xfId="7" applyFont="1"/>
    <xf numFmtId="0" fontId="58" fillId="13" borderId="0" xfId="7" applyFont="1" applyFill="1"/>
    <xf numFmtId="0" fontId="58" fillId="10" borderId="0" xfId="0" applyFont="1" applyFill="1"/>
    <xf numFmtId="2" fontId="65" fillId="10" borderId="0" xfId="7" applyNumberFormat="1" applyFont="1" applyFill="1"/>
    <xf numFmtId="0" fontId="58" fillId="10" borderId="0" xfId="7" applyFont="1" applyFill="1"/>
    <xf numFmtId="0" fontId="58" fillId="10" borderId="0" xfId="7" applyFont="1" applyFill="1" applyAlignment="1">
      <alignment horizontal="right"/>
    </xf>
    <xf numFmtId="2" fontId="65" fillId="0" borderId="0" xfId="7" applyNumberFormat="1" applyFont="1"/>
    <xf numFmtId="0" fontId="67" fillId="0" borderId="0" xfId="7" applyFont="1"/>
    <xf numFmtId="0" fontId="67" fillId="0" borderId="0" xfId="0" applyFont="1"/>
    <xf numFmtId="39" fontId="58" fillId="0" borderId="0" xfId="7" applyNumberFormat="1" applyFont="1"/>
    <xf numFmtId="0" fontId="58" fillId="0" borderId="0" xfId="7" applyFont="1" applyAlignment="1">
      <alignment horizontal="right"/>
    </xf>
    <xf numFmtId="0" fontId="67" fillId="8" borderId="0" xfId="7" applyFont="1" applyFill="1"/>
    <xf numFmtId="0" fontId="67" fillId="8" borderId="0" xfId="0" applyFont="1" applyFill="1"/>
    <xf numFmtId="39" fontId="58" fillId="8" borderId="0" xfId="7" applyNumberFormat="1" applyFont="1" applyFill="1"/>
    <xf numFmtId="0" fontId="58" fillId="8" borderId="0" xfId="7" applyFont="1" applyFill="1"/>
    <xf numFmtId="0" fontId="58" fillId="8" borderId="0" xfId="7" applyFont="1" applyFill="1" applyAlignment="1">
      <alignment horizontal="right"/>
    </xf>
    <xf numFmtId="0" fontId="67" fillId="12" borderId="0" xfId="7" applyFont="1" applyFill="1"/>
    <xf numFmtId="0" fontId="67" fillId="12" borderId="0" xfId="0" applyFont="1" applyFill="1"/>
    <xf numFmtId="39" fontId="58" fillId="12" borderId="0" xfId="7" applyNumberFormat="1" applyFont="1" applyFill="1"/>
    <xf numFmtId="0" fontId="58" fillId="12" borderId="0" xfId="7" applyFont="1" applyFill="1"/>
    <xf numFmtId="0" fontId="58" fillId="12" borderId="0" xfId="7" applyFont="1" applyFill="1" applyAlignment="1">
      <alignment horizontal="right"/>
    </xf>
    <xf numFmtId="0" fontId="68" fillId="0" borderId="0" xfId="7" applyFont="1"/>
    <xf numFmtId="39" fontId="13" fillId="0" borderId="14" xfId="14" applyNumberFormat="1" applyFont="1" applyBorder="1" applyAlignment="1">
      <alignment horizontal="right"/>
    </xf>
    <xf numFmtId="39" fontId="55" fillId="0" borderId="7" xfId="14" applyNumberFormat="1" applyFont="1" applyBorder="1"/>
    <xf numFmtId="0" fontId="15" fillId="0" borderId="3" xfId="0" applyFont="1" applyBorder="1" applyProtection="1">
      <protection locked="0"/>
    </xf>
    <xf numFmtId="0" fontId="13" fillId="0" borderId="14" xfId="14" applyFont="1" applyBorder="1" applyAlignment="1" applyProtection="1">
      <alignment horizontal="center"/>
      <protection locked="0"/>
    </xf>
    <xf numFmtId="0" fontId="55" fillId="0" borderId="7" xfId="0" quotePrefix="1" applyFont="1" applyBorder="1" applyAlignment="1">
      <alignment horizontal="left"/>
    </xf>
    <xf numFmtId="0" fontId="13" fillId="0" borderId="7" xfId="0" quotePrefix="1" applyFont="1" applyBorder="1" applyAlignment="1" applyProtection="1">
      <alignment horizontal="left"/>
      <protection locked="0"/>
    </xf>
    <xf numFmtId="0" fontId="13" fillId="0" borderId="14" xfId="0" applyFont="1" applyBorder="1" applyAlignment="1" applyProtection="1">
      <alignment horizontal="center"/>
      <protection locked="0"/>
    </xf>
    <xf numFmtId="0" fontId="16" fillId="0" borderId="0" xfId="0" applyFont="1" applyAlignment="1" applyProtection="1">
      <alignment horizontal="right"/>
      <protection locked="0"/>
    </xf>
    <xf numFmtId="0" fontId="57" fillId="0" borderId="0" xfId="0" applyFont="1"/>
    <xf numFmtId="0" fontId="57" fillId="6" borderId="0" xfId="0" applyFont="1" applyFill="1"/>
    <xf numFmtId="0" fontId="0" fillId="12" borderId="0" xfId="0" applyFill="1"/>
    <xf numFmtId="0" fontId="69" fillId="0" borderId="0" xfId="0" applyFont="1"/>
    <xf numFmtId="0" fontId="58" fillId="15" borderId="0" xfId="0" applyFont="1" applyFill="1"/>
    <xf numFmtId="0" fontId="64" fillId="10" borderId="0" xfId="7" applyFont="1" applyFill="1"/>
    <xf numFmtId="0" fontId="64" fillId="14" borderId="0" xfId="7" applyFont="1" applyFill="1"/>
    <xf numFmtId="0" fontId="44" fillId="0" borderId="10" xfId="9" applyFont="1" applyBorder="1" applyAlignment="1">
      <alignment horizontal="left"/>
    </xf>
    <xf numFmtId="0" fontId="58" fillId="0" borderId="0" xfId="20" applyFont="1"/>
    <xf numFmtId="0" fontId="12" fillId="0" borderId="11" xfId="14" applyFont="1" applyBorder="1"/>
    <xf numFmtId="0" fontId="13" fillId="0" borderId="11" xfId="14" applyFont="1" applyBorder="1"/>
    <xf numFmtId="0" fontId="13" fillId="0" borderId="24" xfId="14" applyFont="1" applyBorder="1"/>
    <xf numFmtId="0" fontId="17" fillId="0" borderId="17" xfId="14" applyFont="1" applyBorder="1" applyAlignment="1">
      <alignment horizontal="center"/>
    </xf>
    <xf numFmtId="0" fontId="13" fillId="0" borderId="13" xfId="14" applyFont="1" applyBorder="1"/>
    <xf numFmtId="0" fontId="13" fillId="0" borderId="18" xfId="14" applyFont="1" applyBorder="1"/>
    <xf numFmtId="0" fontId="17" fillId="0" borderId="0" xfId="14" applyFont="1" applyAlignment="1">
      <alignment horizontal="center"/>
    </xf>
    <xf numFmtId="0" fontId="12" fillId="0" borderId="0" xfId="14" applyFont="1"/>
    <xf numFmtId="0" fontId="13" fillId="0" borderId="20" xfId="14" applyFont="1" applyBorder="1"/>
    <xf numFmtId="0" fontId="13" fillId="0" borderId="25" xfId="14" applyFont="1" applyBorder="1"/>
    <xf numFmtId="0" fontId="17" fillId="0" borderId="21" xfId="14" applyFont="1" applyBorder="1" applyAlignment="1">
      <alignment horizontal="center"/>
    </xf>
    <xf numFmtId="0" fontId="13" fillId="0" borderId="16" xfId="14" applyFont="1" applyBorder="1"/>
    <xf numFmtId="0" fontId="13" fillId="0" borderId="10" xfId="14" applyFont="1" applyBorder="1"/>
    <xf numFmtId="0" fontId="13" fillId="0" borderId="15" xfId="14" applyFont="1" applyBorder="1"/>
    <xf numFmtId="0" fontId="17" fillId="0" borderId="18" xfId="14" applyFont="1" applyBorder="1" applyAlignment="1">
      <alignment horizontal="center"/>
    </xf>
    <xf numFmtId="0" fontId="13" fillId="0" borderId="13" xfId="14" applyFont="1" applyBorder="1" applyAlignment="1">
      <alignment vertical="center"/>
    </xf>
    <xf numFmtId="0" fontId="13" fillId="0" borderId="18" xfId="14" applyFont="1" applyBorder="1" applyAlignment="1">
      <alignment vertical="center"/>
    </xf>
    <xf numFmtId="0" fontId="17" fillId="0" borderId="19" xfId="14" applyFont="1" applyBorder="1" applyAlignment="1">
      <alignment horizontal="center" vertical="center"/>
    </xf>
    <xf numFmtId="0" fontId="17" fillId="0" borderId="19" xfId="14" applyFont="1" applyBorder="1" applyAlignment="1">
      <alignment horizontal="center" wrapText="1"/>
    </xf>
    <xf numFmtId="0" fontId="13" fillId="0" borderId="7" xfId="14" applyFont="1" applyBorder="1"/>
    <xf numFmtId="49" fontId="58" fillId="0" borderId="0" xfId="7" applyNumberFormat="1" applyFont="1" applyAlignment="1">
      <alignment horizontal="right"/>
    </xf>
    <xf numFmtId="0" fontId="32" fillId="0" borderId="0" xfId="0" applyFont="1" applyAlignment="1">
      <alignment horizontal="justify" readingOrder="1"/>
    </xf>
    <xf numFmtId="0" fontId="70" fillId="0" borderId="0" xfId="14" applyFont="1"/>
    <xf numFmtId="0" fontId="71" fillId="0" borderId="0" xfId="14" applyFont="1"/>
    <xf numFmtId="0" fontId="27" fillId="0" borderId="0" xfId="14" applyFont="1"/>
    <xf numFmtId="0" fontId="21" fillId="0" borderId="0" xfId="15" applyFont="1" applyAlignment="1">
      <alignment horizontal="right" vertical="top" wrapText="1"/>
    </xf>
    <xf numFmtId="0" fontId="13" fillId="0" borderId="0" xfId="7" applyFont="1" applyAlignment="1">
      <alignment horizontal="right" vertical="top"/>
    </xf>
    <xf numFmtId="0" fontId="21" fillId="0" borderId="0" xfId="7" applyFont="1" applyAlignment="1">
      <alignment horizontal="right" vertical="top"/>
    </xf>
    <xf numFmtId="0" fontId="13" fillId="0" borderId="0" xfId="14" applyFont="1" applyAlignment="1">
      <alignment horizontal="right"/>
    </xf>
    <xf numFmtId="0" fontId="21" fillId="0" borderId="0" xfId="7" applyFont="1" applyAlignment="1">
      <alignment horizontal="right"/>
    </xf>
    <xf numFmtId="0" fontId="21" fillId="0" borderId="0" xfId="0" applyFont="1"/>
    <xf numFmtId="0" fontId="13" fillId="0" borderId="41" xfId="0" applyFont="1" applyBorder="1" applyAlignment="1" applyProtection="1">
      <alignment horizontal="right"/>
      <protection locked="0"/>
    </xf>
    <xf numFmtId="0" fontId="37" fillId="0" borderId="42" xfId="5" applyFont="1" applyFill="1" applyBorder="1" applyAlignment="1" applyProtection="1">
      <alignment horizontal="right"/>
      <protection locked="0"/>
    </xf>
    <xf numFmtId="165" fontId="13" fillId="0" borderId="43" xfId="0" applyNumberFormat="1" applyFont="1" applyBorder="1" applyAlignment="1" applyProtection="1">
      <alignment horizontal="right"/>
      <protection locked="0"/>
    </xf>
    <xf numFmtId="39" fontId="12" fillId="0" borderId="44" xfId="0" applyNumberFormat="1" applyFont="1" applyBorder="1" applyProtection="1">
      <protection locked="0"/>
    </xf>
    <xf numFmtId="39" fontId="12" fillId="0" borderId="48" xfId="0" applyNumberFormat="1" applyFont="1" applyBorder="1" applyProtection="1">
      <protection locked="0"/>
    </xf>
    <xf numFmtId="39" fontId="12" fillId="0" borderId="35" xfId="0" applyNumberFormat="1" applyFont="1" applyBorder="1" applyProtection="1">
      <protection locked="0"/>
    </xf>
    <xf numFmtId="39" fontId="12" fillId="0" borderId="44" xfId="0" applyNumberFormat="1" applyFont="1" applyBorder="1"/>
    <xf numFmtId="39" fontId="12" fillId="0" borderId="48" xfId="0" applyNumberFormat="1" applyFont="1" applyBorder="1"/>
    <xf numFmtId="39" fontId="12" fillId="0" borderId="35" xfId="0" applyNumberFormat="1" applyFont="1" applyBorder="1"/>
    <xf numFmtId="0" fontId="13" fillId="0" borderId="39" xfId="0" applyFont="1" applyBorder="1" applyAlignment="1" applyProtection="1">
      <alignment horizontal="left"/>
      <protection locked="0"/>
    </xf>
    <xf numFmtId="0" fontId="13" fillId="0" borderId="40" xfId="14" applyFont="1" applyBorder="1" applyProtection="1">
      <protection locked="0"/>
    </xf>
    <xf numFmtId="0" fontId="13" fillId="0" borderId="41" xfId="14" applyFont="1" applyBorder="1" applyProtection="1">
      <protection locked="0"/>
    </xf>
    <xf numFmtId="0" fontId="13" fillId="0" borderId="26" xfId="0" applyFont="1" applyBorder="1" applyAlignment="1" applyProtection="1">
      <alignment horizontal="left"/>
      <protection locked="0"/>
    </xf>
    <xf numFmtId="0" fontId="13" fillId="0" borderId="43" xfId="14" applyFont="1" applyBorder="1" applyProtection="1">
      <protection locked="0"/>
    </xf>
    <xf numFmtId="0" fontId="55" fillId="0" borderId="53" xfId="14" applyFont="1" applyBorder="1"/>
    <xf numFmtId="39" fontId="55" fillId="0" borderId="53" xfId="14" applyNumberFormat="1" applyFont="1" applyBorder="1"/>
    <xf numFmtId="39" fontId="13" fillId="0" borderId="51" xfId="14" applyNumberFormat="1" applyFont="1" applyBorder="1" applyAlignment="1">
      <alignment horizontal="right"/>
    </xf>
    <xf numFmtId="0" fontId="55" fillId="0" borderId="56" xfId="14" applyFont="1" applyBorder="1" applyAlignment="1">
      <alignment horizontal="right"/>
    </xf>
    <xf numFmtId="39" fontId="55" fillId="0" borderId="66" xfId="14" applyNumberFormat="1" applyFont="1" applyBorder="1" applyAlignment="1">
      <alignment horizontal="center"/>
    </xf>
    <xf numFmtId="39" fontId="13" fillId="0" borderId="63" xfId="14" quotePrefix="1" applyNumberFormat="1" applyFont="1" applyBorder="1" applyAlignment="1" applyProtection="1">
      <alignment horizontal="center"/>
      <protection locked="0"/>
    </xf>
    <xf numFmtId="39" fontId="13" fillId="0" borderId="67" xfId="14" quotePrefix="1" applyNumberFormat="1" applyFont="1" applyBorder="1" applyAlignment="1" applyProtection="1">
      <alignment horizontal="center"/>
      <protection locked="0"/>
    </xf>
    <xf numFmtId="39" fontId="55" fillId="0" borderId="52" xfId="14" applyNumberFormat="1" applyFont="1" applyBorder="1" applyAlignment="1">
      <alignment horizontal="center"/>
    </xf>
    <xf numFmtId="39" fontId="55" fillId="0" borderId="53" xfId="14" applyNumberFormat="1" applyFont="1" applyBorder="1" applyAlignment="1">
      <alignment horizontal="center"/>
    </xf>
    <xf numFmtId="39" fontId="13" fillId="0" borderId="51" xfId="14" quotePrefix="1" applyNumberFormat="1" applyFont="1" applyBorder="1" applyAlignment="1" applyProtection="1">
      <alignment horizontal="center"/>
      <protection locked="0"/>
    </xf>
    <xf numFmtId="39" fontId="13" fillId="0" borderId="59" xfId="14" quotePrefix="1" applyNumberFormat="1" applyFont="1" applyBorder="1" applyAlignment="1" applyProtection="1">
      <alignment horizontal="center"/>
      <protection locked="0"/>
    </xf>
    <xf numFmtId="39" fontId="13" fillId="0" borderId="66" xfId="14" applyNumberFormat="1" applyFont="1" applyBorder="1" applyAlignment="1" applyProtection="1">
      <alignment horizontal="center"/>
      <protection locked="0"/>
    </xf>
    <xf numFmtId="39" fontId="13" fillId="0" borderId="65" xfId="14" applyNumberFormat="1" applyFont="1" applyBorder="1" applyAlignment="1" applyProtection="1">
      <alignment horizontal="center"/>
      <protection locked="0"/>
    </xf>
    <xf numFmtId="0" fontId="12" fillId="0" borderId="60" xfId="14" applyFont="1" applyBorder="1" applyProtection="1">
      <protection locked="0"/>
    </xf>
    <xf numFmtId="0" fontId="12" fillId="0" borderId="61" xfId="14" applyFont="1" applyBorder="1" applyProtection="1">
      <protection locked="0"/>
    </xf>
    <xf numFmtId="0" fontId="12" fillId="0" borderId="62" xfId="14" applyFont="1" applyBorder="1" applyProtection="1">
      <protection locked="0"/>
    </xf>
    <xf numFmtId="0" fontId="16" fillId="0" borderId="60" xfId="14" applyFont="1" applyBorder="1" applyProtection="1">
      <protection locked="0"/>
    </xf>
    <xf numFmtId="0" fontId="16" fillId="0" borderId="61" xfId="14" applyFont="1" applyBorder="1" applyProtection="1">
      <protection locked="0"/>
    </xf>
    <xf numFmtId="0" fontId="16" fillId="0" borderId="62" xfId="14" applyFont="1" applyBorder="1" applyProtection="1">
      <protection locked="0"/>
    </xf>
    <xf numFmtId="0" fontId="13" fillId="16" borderId="44" xfId="0" applyFont="1" applyFill="1" applyBorder="1" applyAlignment="1" applyProtection="1">
      <alignment horizontal="center"/>
      <protection locked="0"/>
    </xf>
    <xf numFmtId="0" fontId="13" fillId="16" borderId="56" xfId="0" applyFont="1" applyFill="1" applyBorder="1" applyAlignment="1" applyProtection="1">
      <alignment horizontal="center"/>
      <protection locked="0"/>
    </xf>
    <xf numFmtId="0" fontId="13" fillId="16" borderId="55" xfId="0" applyFont="1" applyFill="1" applyBorder="1" applyAlignment="1" applyProtection="1">
      <alignment horizontal="center"/>
      <protection locked="0"/>
    </xf>
    <xf numFmtId="0" fontId="13" fillId="16" borderId="34" xfId="0" applyFont="1" applyFill="1" applyBorder="1" applyAlignment="1" applyProtection="1">
      <alignment horizontal="center"/>
      <protection locked="0"/>
    </xf>
    <xf numFmtId="0" fontId="12" fillId="16" borderId="36" xfId="0" applyFont="1" applyFill="1" applyBorder="1" applyAlignment="1">
      <alignment horizontal="center" wrapText="1"/>
    </xf>
    <xf numFmtId="0" fontId="12" fillId="16" borderId="51" xfId="0" applyFont="1" applyFill="1" applyBorder="1" applyAlignment="1">
      <alignment horizontal="center" wrapText="1"/>
    </xf>
    <xf numFmtId="39" fontId="12" fillId="16" borderId="57" xfId="14" quotePrefix="1" applyNumberFormat="1" applyFont="1" applyFill="1" applyBorder="1" applyAlignment="1">
      <alignment horizontal="center"/>
    </xf>
    <xf numFmtId="0" fontId="12" fillId="16" borderId="33" xfId="0" quotePrefix="1" applyFont="1" applyFill="1" applyBorder="1" applyAlignment="1">
      <alignment horizontal="center"/>
    </xf>
    <xf numFmtId="0" fontId="12" fillId="16" borderId="27" xfId="0" quotePrefix="1" applyFont="1" applyFill="1" applyBorder="1" applyAlignment="1">
      <alignment horizontal="center"/>
    </xf>
    <xf numFmtId="0" fontId="12" fillId="16" borderId="43" xfId="0" applyFont="1" applyFill="1" applyBorder="1" applyAlignment="1">
      <alignment horizontal="center"/>
    </xf>
    <xf numFmtId="0" fontId="12" fillId="8" borderId="38" xfId="0" applyFont="1" applyFill="1" applyBorder="1" applyAlignment="1" applyProtection="1">
      <alignment horizontal="center" wrapText="1"/>
      <protection locked="0"/>
    </xf>
    <xf numFmtId="0" fontId="13" fillId="8" borderId="66" xfId="0" applyFont="1" applyFill="1" applyBorder="1" applyAlignment="1" applyProtection="1">
      <alignment horizontal="center"/>
      <protection locked="0"/>
    </xf>
    <xf numFmtId="0" fontId="12" fillId="17" borderId="60" xfId="0" applyFont="1" applyFill="1" applyBorder="1" applyAlignment="1" applyProtection="1">
      <alignment horizontal="center"/>
      <protection locked="0"/>
    </xf>
    <xf numFmtId="0" fontId="12" fillId="17" borderId="52" xfId="0" applyFont="1" applyFill="1" applyBorder="1" applyAlignment="1">
      <alignment horizontal="center" wrapText="1"/>
    </xf>
    <xf numFmtId="0" fontId="12" fillId="17" borderId="7" xfId="0" applyFont="1" applyFill="1" applyBorder="1" applyAlignment="1">
      <alignment horizontal="center" wrapText="1"/>
    </xf>
    <xf numFmtId="0" fontId="12" fillId="17" borderId="53" xfId="0" applyFont="1" applyFill="1" applyBorder="1" applyAlignment="1">
      <alignment horizontal="center" wrapText="1"/>
    </xf>
    <xf numFmtId="0" fontId="13" fillId="17" borderId="35" xfId="14" applyFont="1" applyFill="1" applyBorder="1"/>
    <xf numFmtId="0" fontId="13" fillId="17" borderId="26" xfId="14" applyFont="1" applyFill="1" applyBorder="1"/>
    <xf numFmtId="0" fontId="13" fillId="17" borderId="43" xfId="14" applyFont="1" applyFill="1" applyBorder="1"/>
    <xf numFmtId="0" fontId="12" fillId="10" borderId="38" xfId="0" applyFont="1" applyFill="1" applyBorder="1" applyAlignment="1" applyProtection="1">
      <alignment horizontal="center" wrapText="1"/>
      <protection locked="0"/>
    </xf>
    <xf numFmtId="0" fontId="13" fillId="10" borderId="66" xfId="0" applyFont="1" applyFill="1" applyBorder="1" applyAlignment="1" applyProtection="1">
      <alignment horizontal="center"/>
      <protection locked="0"/>
    </xf>
    <xf numFmtId="0" fontId="12" fillId="10" borderId="65" xfId="0" applyFont="1" applyFill="1" applyBorder="1" applyAlignment="1">
      <alignment horizontal="center" vertical="center" wrapText="1"/>
    </xf>
    <xf numFmtId="0" fontId="13" fillId="12" borderId="52" xfId="0" applyFont="1" applyFill="1" applyBorder="1" applyAlignment="1" applyProtection="1">
      <alignment horizontal="center"/>
      <protection locked="0"/>
    </xf>
    <xf numFmtId="0" fontId="13" fillId="12" borderId="41" xfId="0" applyFont="1" applyFill="1" applyBorder="1" applyAlignment="1" applyProtection="1">
      <alignment horizontal="center"/>
      <protection locked="0"/>
    </xf>
    <xf numFmtId="0" fontId="12" fillId="12" borderId="52" xfId="0" applyFont="1" applyFill="1" applyBorder="1" applyAlignment="1">
      <alignment horizontal="center" wrapText="1"/>
    </xf>
    <xf numFmtId="0" fontId="12" fillId="12" borderId="53" xfId="0" applyFont="1" applyFill="1" applyBorder="1" applyAlignment="1">
      <alignment horizontal="center" wrapText="1"/>
    </xf>
    <xf numFmtId="0" fontId="13" fillId="12" borderId="35" xfId="14" applyFont="1" applyFill="1" applyBorder="1"/>
    <xf numFmtId="0" fontId="13" fillId="12" borderId="50" xfId="14" applyFont="1" applyFill="1" applyBorder="1"/>
    <xf numFmtId="14" fontId="12" fillId="13" borderId="33" xfId="0" applyNumberFormat="1" applyFont="1" applyFill="1" applyBorder="1" applyAlignment="1">
      <alignment horizontal="center"/>
    </xf>
    <xf numFmtId="0" fontId="13" fillId="18" borderId="35" xfId="0" applyFont="1" applyFill="1" applyBorder="1" applyAlignment="1">
      <alignment horizontal="center"/>
    </xf>
    <xf numFmtId="0" fontId="13" fillId="18" borderId="26" xfId="14" applyFont="1" applyFill="1" applyBorder="1"/>
    <xf numFmtId="0" fontId="13" fillId="17" borderId="10" xfId="0" applyFont="1" applyFill="1" applyBorder="1" applyAlignment="1" applyProtection="1">
      <alignment horizontal="center"/>
      <protection locked="0"/>
    </xf>
    <xf numFmtId="0" fontId="12" fillId="17" borderId="48" xfId="0" applyFont="1" applyFill="1" applyBorder="1" applyAlignment="1">
      <alignment horizontal="center" wrapText="1"/>
    </xf>
    <xf numFmtId="0" fontId="55" fillId="0" borderId="45" xfId="14" applyFont="1" applyBorder="1"/>
    <xf numFmtId="0" fontId="13" fillId="17" borderId="55" xfId="0" applyFont="1" applyFill="1" applyBorder="1" applyAlignment="1" applyProtection="1">
      <alignment horizontal="center"/>
      <protection locked="0"/>
    </xf>
    <xf numFmtId="39" fontId="13" fillId="17" borderId="34" xfId="14" applyNumberFormat="1" applyFont="1" applyFill="1" applyBorder="1" applyAlignment="1" applyProtection="1">
      <alignment horizontal="center"/>
      <protection locked="0"/>
    </xf>
    <xf numFmtId="39" fontId="13" fillId="17" borderId="56" xfId="14" applyNumberFormat="1" applyFont="1" applyFill="1" applyBorder="1" applyAlignment="1" applyProtection="1">
      <alignment horizontal="center"/>
      <protection locked="0"/>
    </xf>
    <xf numFmtId="0" fontId="12" fillId="17" borderId="47" xfId="0" applyFont="1" applyFill="1" applyBorder="1" applyAlignment="1">
      <alignment horizontal="center"/>
    </xf>
    <xf numFmtId="0" fontId="55" fillId="0" borderId="52" xfId="14" applyFont="1" applyBorder="1"/>
    <xf numFmtId="0" fontId="52" fillId="0" borderId="0" xfId="15" applyFont="1" applyAlignment="1">
      <alignment vertical="top"/>
    </xf>
    <xf numFmtId="0" fontId="12" fillId="0" borderId="0" xfId="7" applyFont="1" applyAlignment="1" applyProtection="1">
      <alignment vertical="top"/>
      <protection locked="0"/>
    </xf>
    <xf numFmtId="0" fontId="25" fillId="0" borderId="0" xfId="7" applyFont="1" applyAlignment="1">
      <alignment vertical="top"/>
    </xf>
    <xf numFmtId="0" fontId="25" fillId="0" borderId="0" xfId="7" applyFont="1" applyAlignment="1">
      <alignment vertical="top" wrapText="1"/>
    </xf>
    <xf numFmtId="0" fontId="25" fillId="0" borderId="0" xfId="7" applyFont="1" applyAlignment="1">
      <alignment horizontal="left" vertical="top" wrapText="1"/>
    </xf>
    <xf numFmtId="0" fontId="25" fillId="0" borderId="0" xfId="25" applyFont="1" applyAlignment="1">
      <alignment vertical="top" wrapText="1"/>
    </xf>
    <xf numFmtId="0" fontId="13" fillId="0" borderId="14" xfId="25" applyFont="1" applyBorder="1" applyAlignment="1" applyProtection="1">
      <alignment vertical="top"/>
      <protection locked="0"/>
    </xf>
    <xf numFmtId="0" fontId="13" fillId="0" borderId="0" xfId="25" applyFont="1" applyAlignment="1">
      <alignment vertical="top"/>
    </xf>
    <xf numFmtId="0" fontId="10" fillId="0" borderId="0" xfId="25"/>
    <xf numFmtId="49" fontId="25" fillId="0" borderId="0" xfId="0" quotePrefix="1" applyNumberFormat="1" applyFont="1" applyAlignment="1">
      <alignment horizontal="left" wrapText="1"/>
    </xf>
    <xf numFmtId="0" fontId="12" fillId="8" borderId="64" xfId="0" applyFont="1" applyFill="1" applyBorder="1" applyAlignment="1">
      <alignment horizontal="center" wrapText="1"/>
    </xf>
    <xf numFmtId="0" fontId="12" fillId="8" borderId="67" xfId="0" applyFont="1" applyFill="1" applyBorder="1" applyAlignment="1">
      <alignment wrapText="1"/>
    </xf>
    <xf numFmtId="0" fontId="12" fillId="10" borderId="63" xfId="0" applyFont="1" applyFill="1" applyBorder="1" applyAlignment="1">
      <alignment horizontal="center" wrapText="1"/>
    </xf>
    <xf numFmtId="0" fontId="12" fillId="11" borderId="0" xfId="14" applyFont="1" applyFill="1" applyAlignment="1">
      <alignment horizontal="center" wrapText="1"/>
    </xf>
    <xf numFmtId="43" fontId="13" fillId="0" borderId="0" xfId="19" applyFont="1" applyFill="1" applyBorder="1" applyAlignment="1" applyProtection="1">
      <alignment horizontal="right"/>
      <protection locked="0"/>
    </xf>
    <xf numFmtId="43" fontId="16" fillId="0" borderId="28" xfId="19" applyFont="1" applyFill="1" applyBorder="1" applyAlignment="1" applyProtection="1">
      <alignment horizontal="right"/>
    </xf>
    <xf numFmtId="0" fontId="26" fillId="0" borderId="0" xfId="0" applyFont="1" applyAlignment="1">
      <alignment horizontal="justify" readingOrder="1"/>
    </xf>
    <xf numFmtId="0" fontId="31" fillId="0" borderId="0" xfId="0" applyFont="1" applyAlignment="1">
      <alignment horizontal="justify" vertical="top" readingOrder="1"/>
    </xf>
    <xf numFmtId="0" fontId="10" fillId="0" borderId="0" xfId="9" quotePrefix="1"/>
    <xf numFmtId="0" fontId="67" fillId="16" borderId="0" xfId="7" applyFont="1" applyFill="1"/>
    <xf numFmtId="0" fontId="67" fillId="16" borderId="0" xfId="0" applyFont="1" applyFill="1"/>
    <xf numFmtId="39" fontId="58" fillId="16" borderId="0" xfId="7" applyNumberFormat="1" applyFont="1" applyFill="1"/>
    <xf numFmtId="0" fontId="58" fillId="16" borderId="0" xfId="7" applyFont="1" applyFill="1"/>
    <xf numFmtId="0" fontId="58" fillId="16" borderId="0" xfId="7" applyFont="1" applyFill="1" applyAlignment="1">
      <alignment horizontal="right"/>
    </xf>
    <xf numFmtId="0" fontId="58" fillId="19" borderId="0" xfId="7" applyFont="1" applyFill="1"/>
    <xf numFmtId="0" fontId="58" fillId="19" borderId="0" xfId="7" applyFont="1" applyFill="1" applyAlignment="1">
      <alignment horizontal="right"/>
    </xf>
    <xf numFmtId="0" fontId="2" fillId="0" borderId="0" xfId="20" applyFont="1"/>
    <xf numFmtId="2" fontId="58" fillId="0" borderId="0" xfId="7" applyNumberFormat="1" applyFont="1" applyAlignment="1">
      <alignment horizontal="right"/>
    </xf>
    <xf numFmtId="0" fontId="67" fillId="20" borderId="0" xfId="7" applyFont="1" applyFill="1"/>
    <xf numFmtId="0" fontId="58" fillId="20" borderId="0" xfId="0" applyFont="1" applyFill="1"/>
    <xf numFmtId="2" fontId="65" fillId="20" borderId="0" xfId="7" applyNumberFormat="1" applyFont="1" applyFill="1"/>
    <xf numFmtId="0" fontId="58" fillId="20" borderId="0" xfId="7" applyFont="1" applyFill="1"/>
    <xf numFmtId="49" fontId="58" fillId="20" borderId="38" xfId="7" applyNumberFormat="1" applyFont="1" applyFill="1" applyBorder="1" applyAlignment="1">
      <alignment horizontal="right"/>
    </xf>
    <xf numFmtId="49" fontId="58" fillId="20" borderId="0" xfId="7" applyNumberFormat="1" applyFont="1" applyFill="1" applyAlignment="1">
      <alignment horizontal="right"/>
    </xf>
    <xf numFmtId="0" fontId="58" fillId="19" borderId="0" xfId="0" applyFont="1" applyFill="1"/>
    <xf numFmtId="2" fontId="65" fillId="19" borderId="0" xfId="7" applyNumberFormat="1" applyFont="1" applyFill="1"/>
    <xf numFmtId="0" fontId="39" fillId="21" borderId="10" xfId="7" applyFont="1" applyFill="1" applyBorder="1"/>
    <xf numFmtId="0" fontId="39" fillId="22" borderId="10" xfId="7" applyFont="1" applyFill="1" applyBorder="1"/>
    <xf numFmtId="0" fontId="39" fillId="0" borderId="10" xfId="7" applyFont="1" applyBorder="1"/>
    <xf numFmtId="49" fontId="58" fillId="20" borderId="38" xfId="7" quotePrefix="1" applyNumberFormat="1" applyFont="1" applyFill="1" applyBorder="1" applyAlignment="1">
      <alignment horizontal="right"/>
    </xf>
    <xf numFmtId="0" fontId="66" fillId="0" borderId="0" xfId="7" applyFont="1" applyAlignment="1">
      <alignment horizontal="left"/>
    </xf>
    <xf numFmtId="0" fontId="43" fillId="23" borderId="10" xfId="9" applyFont="1" applyFill="1" applyBorder="1"/>
    <xf numFmtId="0" fontId="65" fillId="23" borderId="10" xfId="7" applyFont="1" applyFill="1" applyBorder="1"/>
    <xf numFmtId="0" fontId="55" fillId="0" borderId="45" xfId="14" applyFont="1" applyBorder="1" applyProtection="1">
      <protection locked="0"/>
    </xf>
    <xf numFmtId="0" fontId="55" fillId="0" borderId="52" xfId="14" applyFont="1" applyBorder="1" applyProtection="1">
      <protection locked="0"/>
    </xf>
    <xf numFmtId="0" fontId="55" fillId="0" borderId="7" xfId="14" applyFont="1" applyBorder="1" applyProtection="1">
      <protection locked="0"/>
    </xf>
    <xf numFmtId="0" fontId="55" fillId="0" borderId="53" xfId="14" applyFont="1" applyBorder="1" applyAlignment="1" applyProtection="1">
      <alignment horizontal="center"/>
      <protection locked="0"/>
    </xf>
    <xf numFmtId="39" fontId="55" fillId="0" borderId="52" xfId="14" applyNumberFormat="1" applyFont="1" applyBorder="1" applyAlignment="1" applyProtection="1">
      <alignment horizontal="center"/>
      <protection locked="0"/>
    </xf>
    <xf numFmtId="0" fontId="55" fillId="0" borderId="47" xfId="14" applyFont="1" applyBorder="1" applyProtection="1">
      <protection locked="0"/>
    </xf>
    <xf numFmtId="0" fontId="55" fillId="0" borderId="57" xfId="14" applyFont="1" applyBorder="1" applyProtection="1">
      <protection locked="0"/>
    </xf>
    <xf numFmtId="0" fontId="55" fillId="0" borderId="27" xfId="14" applyFont="1" applyBorder="1" applyProtection="1">
      <protection locked="0"/>
    </xf>
    <xf numFmtId="0" fontId="55" fillId="0" borderId="54" xfId="14" applyFont="1" applyBorder="1" applyAlignment="1" applyProtection="1">
      <alignment horizontal="center"/>
      <protection locked="0"/>
    </xf>
    <xf numFmtId="39" fontId="55" fillId="0" borderId="57" xfId="14" applyNumberFormat="1" applyFont="1" applyBorder="1" applyAlignment="1" applyProtection="1">
      <alignment horizontal="center"/>
      <protection locked="0"/>
    </xf>
    <xf numFmtId="43" fontId="10" fillId="0" borderId="0" xfId="19" applyFont="1" applyProtection="1">
      <protection locked="0"/>
    </xf>
    <xf numFmtId="0" fontId="10" fillId="0" borderId="0" xfId="19" applyNumberFormat="1" applyFont="1" applyProtection="1">
      <protection locked="0"/>
    </xf>
    <xf numFmtId="0" fontId="10" fillId="12" borderId="0" xfId="0" applyFont="1" applyFill="1"/>
    <xf numFmtId="0" fontId="10" fillId="12" borderId="6" xfId="0" applyFont="1" applyFill="1" applyBorder="1"/>
    <xf numFmtId="0" fontId="10" fillId="12" borderId="5" xfId="0" applyFont="1" applyFill="1" applyBorder="1"/>
    <xf numFmtId="0" fontId="10" fillId="12" borderId="7" xfId="0" applyFont="1" applyFill="1" applyBorder="1"/>
    <xf numFmtId="0" fontId="76" fillId="0" borderId="0" xfId="0" applyFont="1"/>
    <xf numFmtId="0" fontId="44" fillId="22" borderId="10" xfId="7" applyFont="1" applyFill="1" applyBorder="1"/>
    <xf numFmtId="0" fontId="77" fillId="0" borderId="0" xfId="14" applyFont="1" applyAlignment="1">
      <alignment vertical="top"/>
    </xf>
    <xf numFmtId="0" fontId="78" fillId="0" borderId="0" xfId="14" applyFont="1"/>
    <xf numFmtId="0" fontId="79" fillId="0" borderId="0" xfId="5" applyFont="1" applyFill="1" applyAlignment="1" applyProtection="1">
      <alignment vertical="top"/>
    </xf>
    <xf numFmtId="0" fontId="80" fillId="0" borderId="0" xfId="14" applyFont="1" applyAlignment="1">
      <alignment vertical="top"/>
    </xf>
    <xf numFmtId="0" fontId="79" fillId="0" borderId="0" xfId="14" applyFont="1"/>
    <xf numFmtId="0" fontId="10" fillId="18" borderId="0" xfId="0" applyFont="1" applyFill="1"/>
    <xf numFmtId="0" fontId="82" fillId="24" borderId="0" xfId="0" applyFont="1" applyFill="1"/>
    <xf numFmtId="0" fontId="83" fillId="0" borderId="0" xfId="0" applyFont="1"/>
    <xf numFmtId="0" fontId="0" fillId="0" borderId="60" xfId="0" applyBorder="1"/>
    <xf numFmtId="0" fontId="0" fillId="0" borderId="61" xfId="0" applyBorder="1"/>
    <xf numFmtId="0" fontId="10" fillId="0" borderId="61" xfId="0" applyFont="1" applyBorder="1"/>
    <xf numFmtId="0" fontId="10" fillId="24" borderId="60" xfId="0" applyFont="1" applyFill="1" applyBorder="1"/>
    <xf numFmtId="0" fontId="69" fillId="24" borderId="61" xfId="0" applyFont="1" applyFill="1" applyBorder="1"/>
    <xf numFmtId="0" fontId="0" fillId="24" borderId="61" xfId="0" applyFill="1" applyBorder="1"/>
    <xf numFmtId="0" fontId="0" fillId="0" borderId="14" xfId="0" applyBorder="1"/>
    <xf numFmtId="0" fontId="10" fillId="0" borderId="6" xfId="0" applyFont="1" applyBorder="1"/>
    <xf numFmtId="0" fontId="0" fillId="0" borderId="5" xfId="0" applyBorder="1"/>
    <xf numFmtId="0" fontId="0" fillId="0" borderId="7" xfId="0" applyBorder="1"/>
    <xf numFmtId="0" fontId="0" fillId="14" borderId="0" xfId="0" applyFill="1"/>
    <xf numFmtId="39" fontId="13" fillId="5" borderId="0" xfId="14" applyNumberFormat="1" applyFont="1" applyFill="1" applyAlignment="1">
      <alignment horizontal="right"/>
    </xf>
    <xf numFmtId="0" fontId="13" fillId="5" borderId="0" xfId="14" applyFont="1" applyFill="1" applyAlignment="1">
      <alignment horizontal="right"/>
    </xf>
    <xf numFmtId="39" fontId="49" fillId="5" borderId="0" xfId="14" applyNumberFormat="1" applyFont="1" applyFill="1" applyAlignment="1">
      <alignment horizontal="right"/>
    </xf>
    <xf numFmtId="0" fontId="49" fillId="5" borderId="0" xfId="14" applyFont="1" applyFill="1" applyAlignment="1">
      <alignment horizontal="right"/>
    </xf>
    <xf numFmtId="0" fontId="21" fillId="0" borderId="0" xfId="7" applyFont="1" applyAlignment="1" applyProtection="1">
      <alignment vertical="top"/>
      <protection locked="0"/>
    </xf>
    <xf numFmtId="49" fontId="13" fillId="5" borderId="0" xfId="14" applyNumberFormat="1" applyFont="1" applyFill="1" applyAlignment="1">
      <alignment horizontal="right"/>
    </xf>
    <xf numFmtId="0" fontId="55" fillId="0" borderId="44" xfId="0" applyFont="1" applyBorder="1" applyAlignment="1">
      <alignment horizontal="left"/>
    </xf>
    <xf numFmtId="0" fontId="55" fillId="0" borderId="69" xfId="14" applyFont="1" applyBorder="1"/>
    <xf numFmtId="0" fontId="55" fillId="0" borderId="39" xfId="14" quotePrefix="1" applyFont="1" applyBorder="1"/>
    <xf numFmtId="0" fontId="55" fillId="0" borderId="34" xfId="0" quotePrefix="1" applyFont="1" applyBorder="1" applyAlignment="1">
      <alignment horizontal="left"/>
    </xf>
    <xf numFmtId="0" fontId="55" fillId="0" borderId="34" xfId="14" applyFont="1" applyBorder="1"/>
    <xf numFmtId="39" fontId="55" fillId="0" borderId="34" xfId="14" applyNumberFormat="1" applyFont="1" applyBorder="1" applyAlignment="1">
      <alignment horizontal="right"/>
    </xf>
    <xf numFmtId="0" fontId="55" fillId="0" borderId="45" xfId="14" quotePrefix="1" applyFont="1" applyBorder="1" applyAlignment="1">
      <alignment horizontal="left"/>
    </xf>
    <xf numFmtId="0" fontId="13" fillId="0" borderId="45" xfId="14" applyFont="1" applyBorder="1" applyProtection="1">
      <protection locked="0"/>
    </xf>
    <xf numFmtId="0" fontId="13" fillId="0" borderId="45" xfId="0" applyFont="1" applyBorder="1" applyProtection="1">
      <protection locked="0"/>
    </xf>
    <xf numFmtId="0" fontId="13" fillId="0" borderId="47" xfId="14" applyFont="1" applyBorder="1" applyProtection="1">
      <protection locked="0"/>
    </xf>
    <xf numFmtId="0" fontId="13" fillId="0" borderId="49" xfId="14" applyFont="1" applyBorder="1" applyProtection="1">
      <protection locked="0"/>
    </xf>
    <xf numFmtId="0" fontId="13" fillId="0" borderId="27" xfId="0" quotePrefix="1" applyFont="1" applyBorder="1" applyAlignment="1" applyProtection="1">
      <alignment horizontal="left"/>
      <protection locked="0"/>
    </xf>
    <xf numFmtId="0" fontId="13" fillId="0" borderId="58" xfId="14" applyFont="1" applyBorder="1" applyAlignment="1" applyProtection="1">
      <alignment horizontal="center"/>
      <protection locked="0"/>
    </xf>
    <xf numFmtId="39" fontId="13" fillId="0" borderId="58" xfId="14" applyNumberFormat="1" applyFont="1" applyBorder="1" applyAlignment="1" applyProtection="1">
      <alignment horizontal="right"/>
      <protection locked="0"/>
    </xf>
    <xf numFmtId="0" fontId="12" fillId="18" borderId="52" xfId="14" applyFont="1" applyFill="1" applyBorder="1" applyAlignment="1">
      <alignment horizontal="center"/>
    </xf>
    <xf numFmtId="0" fontId="12" fillId="18" borderId="7" xfId="0" applyFont="1" applyFill="1" applyBorder="1" applyAlignment="1">
      <alignment horizontal="center" wrapText="1"/>
    </xf>
    <xf numFmtId="0" fontId="12" fillId="13" borderId="16" xfId="0" applyFont="1" applyFill="1" applyBorder="1" applyAlignment="1">
      <alignment horizontal="center" wrapText="1"/>
    </xf>
    <xf numFmtId="0" fontId="13" fillId="18" borderId="70" xfId="14" applyFont="1" applyFill="1" applyBorder="1" applyAlignment="1" applyProtection="1">
      <alignment horizontal="center"/>
      <protection locked="0"/>
    </xf>
    <xf numFmtId="0" fontId="13" fillId="18" borderId="71" xfId="14" applyFont="1" applyFill="1" applyBorder="1" applyAlignment="1" applyProtection="1">
      <alignment horizontal="center"/>
      <protection locked="0"/>
    </xf>
    <xf numFmtId="0" fontId="13" fillId="18" borderId="68" xfId="14" applyFont="1" applyFill="1" applyBorder="1" applyAlignment="1" applyProtection="1">
      <alignment horizontal="center"/>
      <protection locked="0"/>
    </xf>
    <xf numFmtId="39" fontId="13" fillId="18" borderId="71" xfId="14" applyNumberFormat="1" applyFont="1" applyFill="1" applyBorder="1" applyAlignment="1" applyProtection="1">
      <alignment horizontal="center"/>
      <protection locked="0"/>
    </xf>
    <xf numFmtId="0" fontId="13" fillId="13" borderId="72" xfId="0" applyFont="1" applyFill="1" applyBorder="1" applyAlignment="1" applyProtection="1">
      <alignment horizontal="center"/>
      <protection locked="0"/>
    </xf>
    <xf numFmtId="39" fontId="55" fillId="0" borderId="73" xfId="14" applyNumberFormat="1" applyFont="1" applyBorder="1" applyAlignment="1">
      <alignment horizontal="right"/>
    </xf>
    <xf numFmtId="39" fontId="13" fillId="0" borderId="23" xfId="14" applyNumberFormat="1" applyFont="1" applyBorder="1" applyAlignment="1">
      <alignment horizontal="right"/>
    </xf>
    <xf numFmtId="43" fontId="55" fillId="0" borderId="75" xfId="19" applyFont="1" applyFill="1" applyBorder="1" applyProtection="1"/>
    <xf numFmtId="43" fontId="55" fillId="0" borderId="22" xfId="19" applyFont="1" applyFill="1" applyBorder="1" applyProtection="1"/>
    <xf numFmtId="43" fontId="13" fillId="0" borderId="22" xfId="19" applyFont="1" applyFill="1" applyBorder="1" applyProtection="1">
      <protection locked="0"/>
    </xf>
    <xf numFmtId="43" fontId="13" fillId="0" borderId="76" xfId="19" applyFont="1" applyFill="1" applyBorder="1" applyProtection="1">
      <protection locked="0"/>
    </xf>
    <xf numFmtId="0" fontId="13" fillId="16" borderId="46" xfId="14" applyFont="1" applyFill="1" applyBorder="1" applyProtection="1">
      <protection locked="0"/>
    </xf>
    <xf numFmtId="39" fontId="12" fillId="16" borderId="77" xfId="14" quotePrefix="1" applyNumberFormat="1" applyFont="1" applyFill="1" applyBorder="1" applyAlignment="1">
      <alignment horizontal="center"/>
    </xf>
    <xf numFmtId="166" fontId="55" fillId="0" borderId="55" xfId="14" applyNumberFormat="1" applyFont="1" applyBorder="1"/>
    <xf numFmtId="166" fontId="13" fillId="0" borderId="36" xfId="14" applyNumberFormat="1" applyFont="1" applyBorder="1"/>
    <xf numFmtId="166" fontId="13" fillId="0" borderId="36" xfId="14" applyNumberFormat="1" applyFont="1" applyBorder="1" applyProtection="1">
      <protection locked="0"/>
    </xf>
    <xf numFmtId="0" fontId="55" fillId="25" borderId="51" xfId="14" applyFont="1" applyFill="1" applyBorder="1" applyAlignment="1">
      <alignment horizontal="right"/>
    </xf>
    <xf numFmtId="0" fontId="57" fillId="26" borderId="78" xfId="0" applyFont="1" applyFill="1" applyBorder="1"/>
    <xf numFmtId="39" fontId="12" fillId="0" borderId="39" xfId="0" applyNumberFormat="1" applyFont="1" applyBorder="1" applyProtection="1">
      <protection locked="0"/>
    </xf>
    <xf numFmtId="39" fontId="12" fillId="0" borderId="10" xfId="0" applyNumberFormat="1" applyFont="1" applyBorder="1" applyProtection="1">
      <protection locked="0"/>
    </xf>
    <xf numFmtId="39" fontId="12" fillId="0" borderId="26" xfId="0" applyNumberFormat="1" applyFont="1" applyBorder="1" applyProtection="1">
      <protection locked="0"/>
    </xf>
    <xf numFmtId="39" fontId="12" fillId="0" borderId="79" xfId="0" applyNumberFormat="1" applyFont="1" applyBorder="1" applyProtection="1">
      <protection locked="0"/>
    </xf>
    <xf numFmtId="39" fontId="12" fillId="0" borderId="63" xfId="0" applyNumberFormat="1" applyFont="1" applyBorder="1" applyProtection="1">
      <protection locked="0"/>
    </xf>
    <xf numFmtId="39" fontId="12" fillId="0" borderId="67" xfId="0" applyNumberFormat="1" applyFont="1" applyBorder="1" applyProtection="1">
      <protection locked="0"/>
    </xf>
    <xf numFmtId="0" fontId="39" fillId="0" borderId="10" xfId="0" applyFont="1" applyBorder="1"/>
    <xf numFmtId="0" fontId="64" fillId="0" borderId="0" xfId="7" applyFont="1"/>
    <xf numFmtId="0" fontId="55" fillId="0" borderId="51" xfId="14" applyFont="1" applyBorder="1" applyAlignment="1" applyProtection="1">
      <alignment horizontal="right"/>
      <protection locked="0"/>
    </xf>
    <xf numFmtId="39" fontId="13" fillId="0" borderId="23" xfId="14" applyNumberFormat="1" applyFont="1" applyBorder="1" applyAlignment="1" applyProtection="1">
      <alignment horizontal="right"/>
      <protection locked="0"/>
    </xf>
    <xf numFmtId="39" fontId="13" fillId="0" borderId="51" xfId="14" applyNumberFormat="1" applyFont="1" applyBorder="1" applyAlignment="1" applyProtection="1">
      <alignment horizontal="right"/>
      <protection locked="0"/>
    </xf>
    <xf numFmtId="0" fontId="55" fillId="0" borderId="59" xfId="14" applyFont="1" applyBorder="1" applyAlignment="1" applyProtection="1">
      <alignment horizontal="right"/>
      <protection locked="0"/>
    </xf>
    <xf numFmtId="39" fontId="13" fillId="0" borderId="74" xfId="14" applyNumberFormat="1" applyFont="1" applyBorder="1" applyAlignment="1" applyProtection="1">
      <alignment horizontal="right"/>
      <protection locked="0"/>
    </xf>
    <xf numFmtId="39" fontId="13" fillId="0" borderId="59" xfId="14" applyNumberFormat="1" applyFont="1" applyBorder="1" applyAlignment="1" applyProtection="1">
      <alignment horizontal="right"/>
      <protection locked="0"/>
    </xf>
    <xf numFmtId="49" fontId="13" fillId="0" borderId="40" xfId="0" applyNumberFormat="1" applyFont="1" applyBorder="1" applyAlignment="1" applyProtection="1">
      <alignment horizontal="right"/>
      <protection locked="0"/>
    </xf>
    <xf numFmtId="0" fontId="58" fillId="14" borderId="0" xfId="0" applyFont="1" applyFill="1"/>
    <xf numFmtId="0" fontId="0" fillId="6" borderId="0" xfId="0" applyFill="1"/>
    <xf numFmtId="0" fontId="0" fillId="16" borderId="0" xfId="0" applyFill="1"/>
    <xf numFmtId="0" fontId="39" fillId="0" borderId="48" xfId="0" applyFont="1" applyBorder="1"/>
    <xf numFmtId="0" fontId="0" fillId="0" borderId="80" xfId="0" applyBorder="1"/>
    <xf numFmtId="0" fontId="0" fillId="0" borderId="46" xfId="0" applyBorder="1"/>
    <xf numFmtId="0" fontId="57" fillId="26" borderId="78" xfId="0" applyFont="1" applyFill="1" applyBorder="1" applyAlignment="1">
      <alignment horizontal="right" wrapText="1"/>
    </xf>
    <xf numFmtId="0" fontId="57" fillId="0" borderId="78" xfId="0" applyFont="1" applyBorder="1" applyAlignment="1">
      <alignment horizontal="right"/>
    </xf>
    <xf numFmtId="0" fontId="57" fillId="0" borderId="78" xfId="0" applyFont="1" applyBorder="1"/>
    <xf numFmtId="0" fontId="10" fillId="9" borderId="0" xfId="7" applyFill="1"/>
    <xf numFmtId="0" fontId="39" fillId="9" borderId="0" xfId="7" applyFont="1" applyFill="1"/>
    <xf numFmtId="0" fontId="10" fillId="4" borderId="0" xfId="7" applyFill="1"/>
    <xf numFmtId="0" fontId="25" fillId="0" borderId="0" xfId="14" applyFont="1" applyAlignment="1">
      <alignment horizontal="justify" vertical="top" wrapText="1"/>
    </xf>
    <xf numFmtId="0" fontId="0" fillId="0" borderId="81" xfId="0" applyBorder="1"/>
    <xf numFmtId="0" fontId="0" fillId="0" borderId="69" xfId="0" applyBorder="1"/>
    <xf numFmtId="0" fontId="0" fillId="0" borderId="82" xfId="0" applyBorder="1"/>
    <xf numFmtId="0" fontId="10" fillId="14" borderId="46" xfId="0" applyFont="1" applyFill="1" applyBorder="1"/>
    <xf numFmtId="0" fontId="0" fillId="14" borderId="80" xfId="0" applyFill="1" applyBorder="1"/>
    <xf numFmtId="0" fontId="57" fillId="0" borderId="46" xfId="0" applyFont="1" applyBorder="1"/>
    <xf numFmtId="0" fontId="0" fillId="0" borderId="35" xfId="0" applyBorder="1"/>
    <xf numFmtId="0" fontId="0" fillId="0" borderId="26" xfId="0" applyBorder="1"/>
    <xf numFmtId="0" fontId="0" fillId="0" borderId="43" xfId="0" applyBorder="1"/>
    <xf numFmtId="0" fontId="9" fillId="0" borderId="0" xfId="5" applyFill="1" applyAlignment="1" applyProtection="1">
      <alignment vertical="top"/>
    </xf>
    <xf numFmtId="0" fontId="9" fillId="0" borderId="0" xfId="5" applyAlignment="1" applyProtection="1">
      <alignment vertical="center"/>
    </xf>
    <xf numFmtId="0" fontId="26" fillId="0" borderId="0" xfId="0" applyFont="1" applyAlignment="1">
      <alignment horizontal="justify" vertical="top" wrapText="1" readingOrder="1"/>
    </xf>
    <xf numFmtId="0" fontId="26" fillId="0" borderId="0" xfId="0" applyFont="1" applyAlignment="1">
      <alignment horizontal="justify" readingOrder="1"/>
    </xf>
    <xf numFmtId="0" fontId="32" fillId="0" borderId="0" xfId="0" applyFont="1" applyAlignment="1">
      <alignment horizontal="justify" vertical="top" readingOrder="1"/>
    </xf>
    <xf numFmtId="0" fontId="26" fillId="0" borderId="0" xfId="0" applyFont="1" applyAlignment="1">
      <alignment horizontal="justify" wrapText="1" readingOrder="1"/>
    </xf>
    <xf numFmtId="0" fontId="26" fillId="0" borderId="0" xfId="0" applyFont="1" applyAlignment="1">
      <alignment horizontal="justify" vertical="top" readingOrder="1"/>
    </xf>
    <xf numFmtId="0" fontId="25" fillId="0" borderId="0" xfId="14" applyFont="1" applyAlignment="1">
      <alignment horizontal="justify" vertical="top" wrapText="1"/>
    </xf>
    <xf numFmtId="0" fontId="81" fillId="0" borderId="0" xfId="5" applyFont="1" applyFill="1" applyAlignment="1" applyProtection="1">
      <alignment horizontal="left"/>
    </xf>
    <xf numFmtId="0" fontId="25" fillId="0" borderId="0" xfId="14" applyFont="1" applyAlignment="1">
      <alignment horizontal="left" vertical="top"/>
    </xf>
    <xf numFmtId="0" fontId="32" fillId="3" borderId="0" xfId="0" applyFont="1" applyFill="1" applyAlignment="1">
      <alignment horizontal="justify" wrapText="1" readingOrder="1"/>
    </xf>
    <xf numFmtId="0" fontId="26" fillId="0" borderId="0" xfId="0" applyFont="1" applyAlignment="1">
      <alignment horizontal="justify" wrapText="1"/>
    </xf>
    <xf numFmtId="0" fontId="13" fillId="0" borderId="0" xfId="0" applyFont="1" applyAlignment="1">
      <alignment wrapText="1"/>
    </xf>
    <xf numFmtId="0" fontId="21" fillId="0" borderId="0" xfId="0" applyFont="1" applyAlignment="1">
      <alignment horizontal="justify" wrapText="1"/>
    </xf>
    <xf numFmtId="0" fontId="13" fillId="0" borderId="0" xfId="0" applyFont="1" applyAlignment="1">
      <alignment wrapText="1" readingOrder="1"/>
    </xf>
    <xf numFmtId="0" fontId="32" fillId="0" borderId="0" xfId="0" applyFont="1" applyAlignment="1">
      <alignment horizontal="justify" readingOrder="1"/>
    </xf>
    <xf numFmtId="0" fontId="25" fillId="0" borderId="0" xfId="0" applyFont="1" applyAlignment="1">
      <alignment horizontal="justify" vertical="top" wrapText="1" readingOrder="1"/>
    </xf>
    <xf numFmtId="0" fontId="26" fillId="0" borderId="0" xfId="0" applyFont="1" applyAlignment="1">
      <alignment horizontal="left" vertical="top" wrapText="1" readingOrder="1"/>
    </xf>
    <xf numFmtId="0" fontId="26" fillId="0" borderId="0" xfId="0" applyFont="1" applyAlignment="1">
      <alignment horizontal="justify" vertical="top"/>
    </xf>
    <xf numFmtId="0" fontId="25" fillId="0" borderId="0" xfId="0" applyFont="1" applyAlignment="1">
      <alignment horizontal="justify" vertical="top"/>
    </xf>
    <xf numFmtId="0" fontId="31" fillId="0" borderId="0" xfId="0" applyFont="1" applyAlignment="1">
      <alignment horizontal="left" wrapText="1" readingOrder="1"/>
    </xf>
    <xf numFmtId="0" fontId="70" fillId="0" borderId="0" xfId="14" applyFont="1" applyAlignment="1">
      <alignment horizontal="left"/>
    </xf>
    <xf numFmtId="0" fontId="31" fillId="0" borderId="0" xfId="0" applyFont="1" applyAlignment="1">
      <alignment horizontal="justify" vertical="top" readingOrder="1"/>
    </xf>
    <xf numFmtId="0" fontId="74" fillId="0" borderId="0" xfId="14" applyFont="1" applyAlignment="1">
      <alignment horizontal="left"/>
    </xf>
    <xf numFmtId="0" fontId="13" fillId="0" borderId="9" xfId="14" quotePrefix="1" applyFont="1" applyBorder="1" applyAlignment="1" applyProtection="1">
      <alignment horizontal="left"/>
      <protection locked="0"/>
    </xf>
    <xf numFmtId="0" fontId="13" fillId="0" borderId="0" xfId="14" applyFont="1" applyAlignment="1" applyProtection="1">
      <alignment horizontal="left" wrapText="1"/>
      <protection locked="0"/>
    </xf>
    <xf numFmtId="0" fontId="13" fillId="0" borderId="10" xfId="14" quotePrefix="1" applyFont="1" applyBorder="1" applyAlignment="1" applyProtection="1">
      <alignment horizontal="left"/>
      <protection locked="0"/>
    </xf>
    <xf numFmtId="0" fontId="12" fillId="16" borderId="60" xfId="0" applyFont="1" applyFill="1" applyBorder="1" applyAlignment="1" applyProtection="1">
      <alignment horizontal="center"/>
      <protection locked="0"/>
    </xf>
    <xf numFmtId="0" fontId="12" fillId="16" borderId="61" xfId="0" applyFont="1" applyFill="1" applyBorder="1" applyAlignment="1" applyProtection="1">
      <alignment horizontal="center"/>
      <protection locked="0"/>
    </xf>
    <xf numFmtId="0" fontId="12" fillId="16" borderId="62" xfId="0" applyFont="1" applyFill="1" applyBorder="1" applyAlignment="1" applyProtection="1">
      <alignment horizontal="center"/>
      <protection locked="0"/>
    </xf>
    <xf numFmtId="0" fontId="27" fillId="0" borderId="0" xfId="0" applyFont="1" applyAlignment="1" applyProtection="1">
      <alignment horizontal="center"/>
      <protection locked="0"/>
    </xf>
    <xf numFmtId="0" fontId="12" fillId="17" borderId="68" xfId="0" applyFont="1" applyFill="1" applyBorder="1" applyAlignment="1" applyProtection="1">
      <alignment horizontal="center"/>
      <protection locked="0"/>
    </xf>
    <xf numFmtId="0" fontId="12" fillId="17" borderId="61" xfId="0" applyFont="1" applyFill="1" applyBorder="1" applyAlignment="1" applyProtection="1">
      <alignment horizontal="center"/>
      <protection locked="0"/>
    </xf>
    <xf numFmtId="0" fontId="12" fillId="17" borderId="62" xfId="0" applyFont="1" applyFill="1" applyBorder="1" applyAlignment="1" applyProtection="1">
      <alignment horizontal="center"/>
      <protection locked="0"/>
    </xf>
    <xf numFmtId="0" fontId="21" fillId="11" borderId="0" xfId="14" applyFont="1" applyFill="1" applyAlignment="1" applyProtection="1">
      <alignment horizontal="center" wrapText="1"/>
      <protection locked="0"/>
    </xf>
    <xf numFmtId="0" fontId="12" fillId="12" borderId="60" xfId="0" applyFont="1" applyFill="1" applyBorder="1" applyAlignment="1" applyProtection="1">
      <alignment horizontal="center" wrapText="1"/>
      <protection locked="0"/>
    </xf>
    <xf numFmtId="0" fontId="12" fillId="12" borderId="62" xfId="0" applyFont="1" applyFill="1" applyBorder="1" applyAlignment="1" applyProtection="1">
      <alignment horizontal="center" wrapText="1"/>
      <protection locked="0"/>
    </xf>
    <xf numFmtId="0" fontId="12" fillId="16" borderId="45" xfId="0" applyFont="1" applyFill="1" applyBorder="1" applyAlignment="1">
      <alignment horizontal="center" wrapText="1"/>
    </xf>
    <xf numFmtId="0" fontId="12" fillId="16" borderId="9" xfId="0" applyFont="1" applyFill="1" applyBorder="1" applyAlignment="1">
      <alignment horizontal="center" wrapText="1"/>
    </xf>
    <xf numFmtId="0" fontId="12" fillId="16" borderId="42" xfId="0" applyFont="1" applyFill="1" applyBorder="1" applyAlignment="1">
      <alignment horizontal="center" wrapText="1"/>
    </xf>
    <xf numFmtId="0" fontId="34" fillId="0" borderId="0" xfId="0" applyFont="1" applyAlignment="1">
      <alignment horizontal="justify" vertical="top" wrapText="1" readingOrder="1"/>
    </xf>
    <xf numFmtId="0" fontId="13" fillId="0" borderId="10" xfId="0" applyFont="1" applyBorder="1" applyAlignment="1" applyProtection="1">
      <alignment horizontal="center"/>
      <protection locked="0"/>
    </xf>
    <xf numFmtId="0" fontId="13" fillId="0" borderId="44" xfId="0" applyFont="1" applyBorder="1" applyAlignment="1">
      <alignment horizontal="right"/>
    </xf>
    <xf numFmtId="0" fontId="13" fillId="0" borderId="39" xfId="0" applyFont="1" applyBorder="1" applyAlignment="1">
      <alignment horizontal="right"/>
    </xf>
    <xf numFmtId="0" fontId="13" fillId="0" borderId="40" xfId="0" applyFont="1" applyBorder="1" applyAlignment="1">
      <alignment horizontal="right"/>
    </xf>
    <xf numFmtId="0" fontId="13" fillId="0" borderId="45" xfId="0" applyFont="1" applyBorder="1" applyAlignment="1">
      <alignment horizontal="right"/>
    </xf>
    <xf numFmtId="0" fontId="13" fillId="0" borderId="9" xfId="0" applyFont="1" applyBorder="1" applyAlignment="1">
      <alignment horizontal="right"/>
    </xf>
    <xf numFmtId="0" fontId="13" fillId="0" borderId="42" xfId="0" applyFont="1" applyBorder="1" applyAlignment="1">
      <alignment horizontal="right"/>
    </xf>
    <xf numFmtId="165" fontId="13" fillId="0" borderId="47" xfId="0" applyNumberFormat="1" applyFont="1" applyBorder="1" applyAlignment="1">
      <alignment horizontal="right"/>
    </xf>
    <xf numFmtId="165" fontId="13" fillId="0" borderId="49" xfId="0" applyNumberFormat="1" applyFont="1" applyBorder="1" applyAlignment="1">
      <alignment horizontal="right"/>
    </xf>
    <xf numFmtId="165" fontId="13" fillId="0" borderId="50" xfId="0" applyNumberFormat="1" applyFont="1" applyBorder="1" applyAlignment="1">
      <alignment horizontal="right"/>
    </xf>
    <xf numFmtId="0" fontId="13" fillId="0" borderId="30" xfId="0" applyFont="1" applyBorder="1" applyProtection="1">
      <protection locked="0"/>
    </xf>
    <xf numFmtId="0" fontId="13" fillId="0" borderId="31" xfId="0" applyFont="1" applyBorder="1" applyProtection="1">
      <protection locked="0"/>
    </xf>
    <xf numFmtId="0" fontId="13" fillId="0" borderId="32" xfId="0" applyFont="1" applyBorder="1" applyProtection="1">
      <protection locked="0"/>
    </xf>
    <xf numFmtId="0" fontId="37" fillId="0" borderId="45" xfId="5" applyFont="1" applyBorder="1" applyAlignment="1" applyProtection="1">
      <alignment horizontal="right"/>
    </xf>
    <xf numFmtId="0" fontId="37" fillId="0" borderId="9" xfId="5" applyFont="1" applyBorder="1" applyAlignment="1" applyProtection="1">
      <alignment horizontal="right"/>
    </xf>
    <xf numFmtId="0" fontId="37" fillId="0" borderId="42" xfId="5" applyFont="1" applyBorder="1" applyAlignment="1" applyProtection="1">
      <alignment horizontal="right"/>
    </xf>
    <xf numFmtId="0" fontId="10" fillId="0" borderId="0" xfId="0" applyFont="1" applyAlignment="1">
      <alignment horizontal="left" wrapText="1"/>
    </xf>
    <xf numFmtId="0" fontId="13" fillId="0" borderId="20" xfId="14" applyFont="1" applyBorder="1" applyAlignment="1">
      <alignment horizontal="left" wrapText="1"/>
    </xf>
    <xf numFmtId="0" fontId="13" fillId="0" borderId="25" xfId="14" applyFont="1" applyBorder="1" applyAlignment="1">
      <alignment horizontal="left" wrapText="1"/>
    </xf>
    <xf numFmtId="0" fontId="13" fillId="0" borderId="16" xfId="14" applyFont="1" applyBorder="1" applyAlignment="1">
      <alignment horizontal="center"/>
    </xf>
    <xf numFmtId="0" fontId="13" fillId="0" borderId="10" xfId="14" applyFont="1" applyBorder="1" applyAlignment="1">
      <alignment horizontal="center"/>
    </xf>
    <xf numFmtId="0" fontId="13" fillId="0" borderId="15" xfId="14" applyFont="1" applyBorder="1" applyAlignment="1">
      <alignment horizontal="center"/>
    </xf>
    <xf numFmtId="0" fontId="12" fillId="0" borderId="22" xfId="14" applyFont="1" applyBorder="1" applyAlignment="1">
      <alignment horizontal="center"/>
    </xf>
    <xf numFmtId="0" fontId="12" fillId="0" borderId="9" xfId="14" applyFont="1" applyBorder="1" applyAlignment="1">
      <alignment horizontal="center"/>
    </xf>
    <xf numFmtId="0" fontId="12" fillId="0" borderId="23" xfId="14" applyFont="1" applyBorder="1" applyAlignment="1">
      <alignment horizontal="center"/>
    </xf>
    <xf numFmtId="0" fontId="82" fillId="24" borderId="0" xfId="0" applyFont="1" applyFill="1" applyAlignment="1">
      <alignment horizontal="center" wrapText="1"/>
    </xf>
    <xf numFmtId="0" fontId="85" fillId="0" borderId="0" xfId="0" applyFont="1"/>
    <xf numFmtId="0" fontId="8" fillId="0" borderId="14" xfId="20" applyBorder="1" applyAlignment="1">
      <alignment horizontal="center"/>
    </xf>
    <xf numFmtId="0" fontId="8" fillId="0" borderId="6" xfId="20" applyBorder="1" applyAlignment="1">
      <alignment horizontal="center" vertical="center"/>
    </xf>
    <xf numFmtId="0" fontId="8" fillId="0" borderId="5" xfId="20" applyBorder="1" applyAlignment="1">
      <alignment horizontal="center" vertical="center"/>
    </xf>
    <xf numFmtId="0" fontId="8" fillId="0" borderId="7" xfId="20" applyBorder="1" applyAlignment="1">
      <alignment horizontal="center" vertical="center"/>
    </xf>
    <xf numFmtId="0" fontId="8" fillId="0" borderId="16" xfId="20" applyBorder="1" applyAlignment="1">
      <alignment horizontal="center" vertical="center"/>
    </xf>
    <xf numFmtId="0" fontId="8" fillId="0" borderId="1" xfId="20" applyBorder="1" applyAlignment="1">
      <alignment horizontal="center" vertical="center"/>
    </xf>
    <xf numFmtId="0" fontId="8" fillId="0" borderId="3" xfId="20" applyBorder="1" applyAlignment="1">
      <alignment horizontal="center" vertical="center"/>
    </xf>
  </cellXfs>
  <cellStyles count="33">
    <cellStyle name="Comma" xfId="19" builtinId="3"/>
    <cellStyle name="Comma 2" xfId="1" xr:uid="{00000000-0005-0000-0000-000001000000}"/>
    <cellStyle name="Comma 2 2" xfId="2" xr:uid="{00000000-0005-0000-0000-000002000000}"/>
    <cellStyle name="Comma 2 2 2" xfId="18" xr:uid="{00000000-0005-0000-0000-000003000000}"/>
    <cellStyle name="Comma 2 2 3" xfId="3" xr:uid="{00000000-0005-0000-0000-000004000000}"/>
    <cellStyle name="Comma 2 3" xfId="4" xr:uid="{00000000-0005-0000-0000-000005000000}"/>
    <cellStyle name="Comma 2 4" xfId="26" xr:uid="{B9B3E62C-54E0-4C51-BE80-F9F38908F49B}"/>
    <cellStyle name="Hyperlink" xfId="5" builtinId="8"/>
    <cellStyle name="Hyperlink 2" xfId="6" xr:uid="{00000000-0005-0000-0000-000007000000}"/>
    <cellStyle name="Normal" xfId="0" builtinId="0"/>
    <cellStyle name="Normal 2" xfId="7" xr:uid="{00000000-0005-0000-0000-000009000000}"/>
    <cellStyle name="Normal 2 2" xfId="8" xr:uid="{00000000-0005-0000-0000-00000A000000}"/>
    <cellStyle name="Normal 2 2 2" xfId="9" xr:uid="{00000000-0005-0000-0000-00000B000000}"/>
    <cellStyle name="Normal 2 2 2 2" xfId="32" xr:uid="{66270B36-FB9F-4D71-ACE2-78361E6D5767}"/>
    <cellStyle name="Normal 2 2 3" xfId="27" xr:uid="{A99466D9-7493-4A0D-B1DC-F81C6A373E8E}"/>
    <cellStyle name="Normal 2 3" xfId="25" xr:uid="{88057244-44A9-495F-8E00-BA71AD378C91}"/>
    <cellStyle name="Normal 3" xfId="10" xr:uid="{00000000-0005-0000-0000-00000C000000}"/>
    <cellStyle name="Normal 3 2" xfId="11" xr:uid="{00000000-0005-0000-0000-00000D000000}"/>
    <cellStyle name="Normal 4" xfId="12" xr:uid="{00000000-0005-0000-0000-00000E000000}"/>
    <cellStyle name="Normal 4 2" xfId="13" xr:uid="{00000000-0005-0000-0000-00000F000000}"/>
    <cellStyle name="Normal 4 3" xfId="28" xr:uid="{640490F9-3810-4049-A2A8-4987CA87C36A}"/>
    <cellStyle name="Normal 5" xfId="20" xr:uid="{37E46E3B-C888-474F-B364-3DD50EFE9C5D}"/>
    <cellStyle name="Normal 5 2" xfId="22" xr:uid="{F79047CF-FAC2-4E31-A8B9-654F1DF0F51C}"/>
    <cellStyle name="Normal 5 3" xfId="29" xr:uid="{76B6ACF0-1801-414B-98C4-A284B0D8CE6D}"/>
    <cellStyle name="Normal 6" xfId="23" xr:uid="{43A9D842-44EE-4DEF-BFD4-7EA7165433B1}"/>
    <cellStyle name="Normal 6 2" xfId="30" xr:uid="{530D1DE6-D2A4-4170-B790-B6C4B43A61E2}"/>
    <cellStyle name="Normal 7" xfId="24" xr:uid="{98994937-FCC5-462B-B9A1-275C11921010}"/>
    <cellStyle name="Normal 7 2" xfId="31" xr:uid="{283C9687-9F7A-4464-9BB2-D6A5C159283E}"/>
    <cellStyle name="Normal 9" xfId="21" xr:uid="{972B418D-664D-4D23-B62A-BCEEF9203640}"/>
    <cellStyle name="Normal_SHEET" xfId="14" xr:uid="{00000000-0005-0000-0000-000010000000}"/>
    <cellStyle name="Normal_SHEET 2" xfId="15" xr:uid="{00000000-0005-0000-0000-000011000000}"/>
    <cellStyle name="Percent 2" xfId="16" xr:uid="{00000000-0005-0000-0000-000012000000}"/>
    <cellStyle name="PSDec" xfId="17" xr:uid="{00000000-0005-0000-0000-000013000000}"/>
  </cellStyles>
  <dxfs count="36">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0099"/>
      <color rgb="FF870E00"/>
      <color rgb="FFCCFFCC"/>
      <color rgb="FFEAEAEA"/>
      <color rgb="FF0000FF"/>
      <color rgb="FFFFCCFF"/>
      <color rgb="FFFFFFCC"/>
      <color rgb="FFFFCC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85726</xdr:rowOff>
    </xdr:from>
    <xdr:to>
      <xdr:col>4</xdr:col>
      <xdr:colOff>1905</xdr:colOff>
      <xdr:row>1</xdr:row>
      <xdr:rowOff>95250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flipV="1">
          <a:off x="0" y="247651"/>
          <a:ext cx="5916930" cy="9524"/>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7</xdr:row>
      <xdr:rowOff>81915</xdr:rowOff>
    </xdr:from>
    <xdr:to>
      <xdr:col>3</xdr:col>
      <xdr:colOff>5295900</xdr:colOff>
      <xdr:row>7</xdr:row>
      <xdr:rowOff>81915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0" y="1472565"/>
          <a:ext cx="6219825" cy="0"/>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4162425</xdr:colOff>
      <xdr:row>6</xdr:row>
      <xdr:rowOff>123825</xdr:rowOff>
    </xdr:from>
    <xdr:to>
      <xdr:col>3</xdr:col>
      <xdr:colOff>5019675</xdr:colOff>
      <xdr:row>6</xdr:row>
      <xdr:rowOff>125413</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a:xfrm rot="10800000">
          <a:off x="5048250" y="1323975"/>
          <a:ext cx="857250" cy="1588"/>
        </a:xfrm>
        <a:prstGeom prst="straightConnector1">
          <a:avLst/>
        </a:prstGeom>
        <a:ln>
          <a:solidFill>
            <a:srgbClr val="870E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85725</xdr:rowOff>
    </xdr:from>
    <xdr:to>
      <xdr:col>4</xdr:col>
      <xdr:colOff>6438900</xdr:colOff>
      <xdr:row>4</xdr:row>
      <xdr:rowOff>95253</xdr:rowOff>
    </xdr:to>
    <xdr:cxnSp macro="">
      <xdr:nvCxnSpPr>
        <xdr:cNvPr id="4" name="Straight Connector 3">
          <a:extLst>
            <a:ext uri="{FF2B5EF4-FFF2-40B4-BE49-F238E27FC236}">
              <a16:creationId xmlns:a16="http://schemas.microsoft.com/office/drawing/2014/main" id="{00000000-0008-0000-0100-000004000000}"/>
            </a:ext>
          </a:extLst>
        </xdr:cNvPr>
        <xdr:cNvCxnSpPr/>
      </xdr:nvCxnSpPr>
      <xdr:spPr>
        <a:xfrm flipV="1">
          <a:off x="0" y="933450"/>
          <a:ext cx="8410575" cy="9528"/>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114300</xdr:rowOff>
    </xdr:from>
    <xdr:to>
      <xdr:col>4</xdr:col>
      <xdr:colOff>6429375</xdr:colOff>
      <xdr:row>0</xdr:row>
      <xdr:rowOff>123828</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flipV="1">
          <a:off x="0" y="114300"/>
          <a:ext cx="8401050" cy="9528"/>
        </a:xfrm>
        <a:prstGeom prst="line">
          <a:avLst/>
        </a:prstGeom>
        <a:ln w="12700">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85726</xdr:rowOff>
    </xdr:from>
    <xdr:to>
      <xdr:col>4</xdr:col>
      <xdr:colOff>1905</xdr:colOff>
      <xdr:row>1</xdr:row>
      <xdr:rowOff>95250</xdr:rowOff>
    </xdr:to>
    <xdr:cxnSp macro="">
      <xdr:nvCxnSpPr>
        <xdr:cNvPr id="2" name="Straight Connector 1">
          <a:extLst>
            <a:ext uri="{FF2B5EF4-FFF2-40B4-BE49-F238E27FC236}">
              <a16:creationId xmlns:a16="http://schemas.microsoft.com/office/drawing/2014/main" id="{028C3564-13BF-4D6F-B68E-DCD6C8D541AE}"/>
            </a:ext>
          </a:extLst>
        </xdr:cNvPr>
        <xdr:cNvCxnSpPr/>
      </xdr:nvCxnSpPr>
      <xdr:spPr>
        <a:xfrm flipV="1">
          <a:off x="0" y="259081"/>
          <a:ext cx="6231255" cy="3809"/>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xdr:row>
      <xdr:rowOff>85726</xdr:rowOff>
    </xdr:from>
    <xdr:to>
      <xdr:col>4</xdr:col>
      <xdr:colOff>0</xdr:colOff>
      <xdr:row>1</xdr:row>
      <xdr:rowOff>95250</xdr:rowOff>
    </xdr:to>
    <xdr:cxnSp macro="">
      <xdr:nvCxnSpPr>
        <xdr:cNvPr id="5" name="Straight Connector 4">
          <a:extLst>
            <a:ext uri="{FF2B5EF4-FFF2-40B4-BE49-F238E27FC236}">
              <a16:creationId xmlns:a16="http://schemas.microsoft.com/office/drawing/2014/main" id="{3B3468EA-4A8F-494B-B35C-233A34E5BA3D}"/>
            </a:ext>
          </a:extLst>
        </xdr:cNvPr>
        <xdr:cNvCxnSpPr/>
      </xdr:nvCxnSpPr>
      <xdr:spPr>
        <a:xfrm flipV="1">
          <a:off x="0" y="259081"/>
          <a:ext cx="7124700" cy="3809"/>
        </a:xfrm>
        <a:prstGeom prst="line">
          <a:avLst/>
        </a:prstGeom>
        <a:ln w="12700" cmpd="sng">
          <a:solidFill>
            <a:srgbClr val="870E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5</xdr:row>
      <xdr:rowOff>95250</xdr:rowOff>
    </xdr:from>
    <xdr:to>
      <xdr:col>4</xdr:col>
      <xdr:colOff>0</xdr:colOff>
      <xdr:row>5</xdr:row>
      <xdr:rowOff>95250</xdr:rowOff>
    </xdr:to>
    <xdr:cxnSp macro="">
      <xdr:nvCxnSpPr>
        <xdr:cNvPr id="6" name="Straight Connector 5">
          <a:extLst>
            <a:ext uri="{FF2B5EF4-FFF2-40B4-BE49-F238E27FC236}">
              <a16:creationId xmlns:a16="http://schemas.microsoft.com/office/drawing/2014/main" id="{F933E60C-6E2E-41E9-B95F-E001D646ED1E}"/>
            </a:ext>
          </a:extLst>
        </xdr:cNvPr>
        <xdr:cNvCxnSpPr/>
      </xdr:nvCxnSpPr>
      <xdr:spPr>
        <a:xfrm>
          <a:off x="11430" y="1082040"/>
          <a:ext cx="7113270" cy="0"/>
        </a:xfrm>
        <a:prstGeom prst="line">
          <a:avLst/>
        </a:prstGeom>
        <a:ln w="12700" cmpd="sng">
          <a:solidFill>
            <a:srgbClr val="870E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xdr:row>
      <xdr:rowOff>85725</xdr:rowOff>
    </xdr:from>
    <xdr:to>
      <xdr:col>4</xdr:col>
      <xdr:colOff>0</xdr:colOff>
      <xdr:row>1</xdr:row>
      <xdr:rowOff>95249</xdr:rowOff>
    </xdr:to>
    <xdr:cxnSp macro="">
      <xdr:nvCxnSpPr>
        <xdr:cNvPr id="7" name="Straight Connector 6">
          <a:extLst>
            <a:ext uri="{FF2B5EF4-FFF2-40B4-BE49-F238E27FC236}">
              <a16:creationId xmlns:a16="http://schemas.microsoft.com/office/drawing/2014/main" id="{B98A599B-B2BA-47C5-A00E-504F9618F2E9}"/>
            </a:ext>
          </a:extLst>
        </xdr:cNvPr>
        <xdr:cNvCxnSpPr/>
      </xdr:nvCxnSpPr>
      <xdr:spPr>
        <a:xfrm flipV="1">
          <a:off x="0" y="259080"/>
          <a:ext cx="7124700" cy="11429"/>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5</xdr:row>
      <xdr:rowOff>95250</xdr:rowOff>
    </xdr:from>
    <xdr:to>
      <xdr:col>4</xdr:col>
      <xdr:colOff>0</xdr:colOff>
      <xdr:row>5</xdr:row>
      <xdr:rowOff>104774</xdr:rowOff>
    </xdr:to>
    <xdr:cxnSp macro="">
      <xdr:nvCxnSpPr>
        <xdr:cNvPr id="8" name="Straight Connector 7">
          <a:extLst>
            <a:ext uri="{FF2B5EF4-FFF2-40B4-BE49-F238E27FC236}">
              <a16:creationId xmlns:a16="http://schemas.microsoft.com/office/drawing/2014/main" id="{16CDD58F-7F5C-4992-910A-43AF8F263E4A}"/>
            </a:ext>
          </a:extLst>
        </xdr:cNvPr>
        <xdr:cNvCxnSpPr/>
      </xdr:nvCxnSpPr>
      <xdr:spPr>
        <a:xfrm flipV="1">
          <a:off x="11430" y="1082040"/>
          <a:ext cx="7113270" cy="11429"/>
        </a:xfrm>
        <a:prstGeom prst="line">
          <a:avLst/>
        </a:prstGeom>
        <a:ln w="12700" cmpd="sng">
          <a:solidFill>
            <a:srgbClr val="00206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2771776</xdr:colOff>
      <xdr:row>4</xdr:row>
      <xdr:rowOff>72390</xdr:rowOff>
    </xdr:from>
    <xdr:to>
      <xdr:col>3</xdr:col>
      <xdr:colOff>3808096</xdr:colOff>
      <xdr:row>4</xdr:row>
      <xdr:rowOff>73978</xdr:rowOff>
    </xdr:to>
    <xdr:cxnSp macro="">
      <xdr:nvCxnSpPr>
        <xdr:cNvPr id="9" name="Straight Arrow Connector 8">
          <a:extLst>
            <a:ext uri="{FF2B5EF4-FFF2-40B4-BE49-F238E27FC236}">
              <a16:creationId xmlns:a16="http://schemas.microsoft.com/office/drawing/2014/main" id="{DFD154A7-CD49-45FF-877B-EBBFAFEF4B3D}"/>
            </a:ext>
          </a:extLst>
        </xdr:cNvPr>
        <xdr:cNvCxnSpPr/>
      </xdr:nvCxnSpPr>
      <xdr:spPr>
        <a:xfrm rot="10800000">
          <a:off x="3695701" y="862965"/>
          <a:ext cx="1036320" cy="1588"/>
        </a:xfrm>
        <a:prstGeom prst="straightConnector1">
          <a:avLst/>
        </a:prstGeom>
        <a:ln>
          <a:solidFill>
            <a:srgbClr val="870E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4057649</xdr:colOff>
      <xdr:row>1</xdr:row>
      <xdr:rowOff>133351</xdr:rowOff>
    </xdr:from>
    <xdr:to>
      <xdr:col>5</xdr:col>
      <xdr:colOff>171449</xdr:colOff>
      <xdr:row>5</xdr:row>
      <xdr:rowOff>17145</xdr:rowOff>
    </xdr:to>
    <xdr:pic>
      <xdr:nvPicPr>
        <xdr:cNvPr id="10" name="Picture 9">
          <a:extLst>
            <a:ext uri="{FF2B5EF4-FFF2-40B4-BE49-F238E27FC236}">
              <a16:creationId xmlns:a16="http://schemas.microsoft.com/office/drawing/2014/main" id="{4F479615-50F3-426C-A9CA-7EAF71D122BF}"/>
            </a:ext>
          </a:extLst>
        </xdr:cNvPr>
        <xdr:cNvPicPr>
          <a:picLocks noChangeAspect="1"/>
        </xdr:cNvPicPr>
      </xdr:nvPicPr>
      <xdr:blipFill>
        <a:blip xmlns:r="http://schemas.openxmlformats.org/officeDocument/2006/relationships" r:embed="rId1"/>
        <a:stretch>
          <a:fillRect/>
        </a:stretch>
      </xdr:blipFill>
      <xdr:spPr>
        <a:xfrm>
          <a:off x="4975859" y="300991"/>
          <a:ext cx="2053590" cy="7067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95252</xdr:colOff>
      <xdr:row>2</xdr:row>
      <xdr:rowOff>85725</xdr:rowOff>
    </xdr:from>
    <xdr:to>
      <xdr:col>5</xdr:col>
      <xdr:colOff>990600</xdr:colOff>
      <xdr:row>2</xdr:row>
      <xdr:rowOff>95252</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flipH="1">
          <a:off x="4648202" y="485775"/>
          <a:ext cx="895348" cy="9527"/>
        </a:xfrm>
        <a:prstGeom prst="straightConnector1">
          <a:avLst/>
        </a:prstGeom>
        <a:ln>
          <a:solidFill>
            <a:srgbClr val="870E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200026</xdr:colOff>
      <xdr:row>3</xdr:row>
      <xdr:rowOff>28575</xdr:rowOff>
    </xdr:from>
    <xdr:to>
      <xdr:col>9</xdr:col>
      <xdr:colOff>1</xdr:colOff>
      <xdr:row>8</xdr:row>
      <xdr:rowOff>9525</xdr:rowOff>
    </xdr:to>
    <xdr:sp macro="" textlink="">
      <xdr:nvSpPr>
        <xdr:cNvPr id="3" name="Right Brace 2">
          <a:extLst>
            <a:ext uri="{FF2B5EF4-FFF2-40B4-BE49-F238E27FC236}">
              <a16:creationId xmlns:a16="http://schemas.microsoft.com/office/drawing/2014/main" id="{00000000-0008-0000-0300-000003000000}"/>
            </a:ext>
          </a:extLst>
        </xdr:cNvPr>
        <xdr:cNvSpPr/>
      </xdr:nvSpPr>
      <xdr:spPr>
        <a:xfrm>
          <a:off x="3524251" y="428625"/>
          <a:ext cx="781050" cy="790575"/>
        </a:xfrm>
        <a:prstGeom prst="rightBrace">
          <a:avLst/>
        </a:prstGeom>
        <a:ln>
          <a:solidFill>
            <a:srgbClr val="870E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114301</xdr:colOff>
      <xdr:row>3</xdr:row>
      <xdr:rowOff>38100</xdr:rowOff>
    </xdr:from>
    <xdr:to>
      <xdr:col>5</xdr:col>
      <xdr:colOff>828676</xdr:colOff>
      <xdr:row>8</xdr:row>
      <xdr:rowOff>19050</xdr:rowOff>
    </xdr:to>
    <xdr:sp macro="" textlink="">
      <xdr:nvSpPr>
        <xdr:cNvPr id="7" name="Right Brace 6">
          <a:extLst>
            <a:ext uri="{FF2B5EF4-FFF2-40B4-BE49-F238E27FC236}">
              <a16:creationId xmlns:a16="http://schemas.microsoft.com/office/drawing/2014/main" id="{8C2DC0A6-8CBD-4952-B13B-5804DB76BB38}"/>
            </a:ext>
          </a:extLst>
        </xdr:cNvPr>
        <xdr:cNvSpPr/>
      </xdr:nvSpPr>
      <xdr:spPr>
        <a:xfrm>
          <a:off x="3914776" y="438150"/>
          <a:ext cx="714375" cy="790575"/>
        </a:xfrm>
        <a:prstGeom prst="rightBrace">
          <a:avLst/>
        </a:prstGeom>
        <a:ln>
          <a:solidFill>
            <a:srgbClr val="870E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AFR2020/Forms/Form20_Capital_Assets.xlsx" TargetMode="External"/><Relationship Id="rId1" Type="http://schemas.openxmlformats.org/officeDocument/2006/relationships/externalLinkPath" Target="/CAFR2020/Forms/Form20_Capital_Asset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Oracle\SmartView\bin\HsTbar.xla" TargetMode="External"/><Relationship Id="rId1" Type="http://schemas.openxmlformats.org/officeDocument/2006/relationships/externalLinkPath" Target="file:///C:\Oracle\SmartView\bin\HsTbar.xla"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CC%20Investments%20-%20Load%20E182%60Ta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ecklist"/>
      <sheetName val="Instructions"/>
      <sheetName val="Other Instructions"/>
      <sheetName val="Capital Assets"/>
      <sheetName val="Depreciation"/>
      <sheetName val="Questionnaire"/>
      <sheetName val="Construction in Progress"/>
      <sheetName val="Impairment of Capital Assets"/>
      <sheetName val="CIP Beg Bal"/>
      <sheetName val="Beg Bal-linked TH 4.1.20"/>
      <sheetName val="Beg Balance"/>
      <sheetName val="Beg Bal-linked"/>
      <sheetName val="HFM tab"/>
      <sheetName val="HFM-data only"/>
      <sheetName val="Entity List 5.20.20"/>
      <sheetName val="HFM-date and NA only"/>
      <sheetName val="Entity List"/>
    </sheetNames>
    <sheetDataSet>
      <sheetData sheetId="0"/>
      <sheetData sheetId="1"/>
      <sheetData sheetId="2"/>
      <sheetData sheetId="3"/>
      <sheetData sheetId="4">
        <row r="21">
          <cell r="E21">
            <v>0</v>
          </cell>
        </row>
      </sheetData>
      <sheetData sheetId="5"/>
      <sheetData sheetId="6"/>
      <sheetData sheetId="7"/>
      <sheetData sheetId="8">
        <row r="1">
          <cell r="A1" t="str">
            <v>Entity</v>
          </cell>
          <cell r="B1" t="str">
            <v>HFM Entity</v>
          </cell>
          <cell r="C1" t="str">
            <v>Agency mgmd</v>
          </cell>
          <cell r="D1" t="str">
            <v>total CIP</v>
          </cell>
          <cell r="E1" t="str">
            <v>per Beg Bal</v>
          </cell>
          <cell r="F1" t="str">
            <v>Diff</v>
          </cell>
        </row>
        <row r="2">
          <cell r="A2">
            <v>40200</v>
          </cell>
          <cell r="B2">
            <v>40200</v>
          </cell>
          <cell r="C2">
            <v>0</v>
          </cell>
          <cell r="D2">
            <v>0</v>
          </cell>
          <cell r="E2" t="e">
            <v>#REF!</v>
          </cell>
          <cell r="F2" t="e">
            <v>#REF!</v>
          </cell>
        </row>
        <row r="3">
          <cell r="A3" t="str">
            <v>40300(GA)</v>
          </cell>
          <cell r="B3">
            <v>40300</v>
          </cell>
          <cell r="C3">
            <v>0</v>
          </cell>
          <cell r="D3">
            <v>0</v>
          </cell>
          <cell r="E3" t="e">
            <v>#REF!</v>
          </cell>
          <cell r="F3" t="e">
            <v>#REF!</v>
          </cell>
        </row>
        <row r="4">
          <cell r="A4" t="str">
            <v>40300(BTA)</v>
          </cell>
          <cell r="B4">
            <v>40300</v>
          </cell>
          <cell r="C4">
            <v>0</v>
          </cell>
          <cell r="D4">
            <v>0</v>
          </cell>
          <cell r="E4" t="e">
            <v>#REF!</v>
          </cell>
          <cell r="F4" t="e">
            <v>#REF!</v>
          </cell>
        </row>
        <row r="5">
          <cell r="A5">
            <v>40400</v>
          </cell>
          <cell r="B5">
            <v>40400</v>
          </cell>
          <cell r="C5">
            <v>0</v>
          </cell>
          <cell r="D5">
            <v>0</v>
          </cell>
          <cell r="E5" t="e">
            <v>#REF!</v>
          </cell>
          <cell r="F5" t="e">
            <v>#REF!</v>
          </cell>
        </row>
        <row r="6">
          <cell r="A6">
            <v>40500</v>
          </cell>
          <cell r="B6">
            <v>40500</v>
          </cell>
          <cell r="C6">
            <v>0</v>
          </cell>
          <cell r="D6">
            <v>0</v>
          </cell>
          <cell r="E6" t="e">
            <v>#REF!</v>
          </cell>
          <cell r="F6" t="e">
            <v>#REF!</v>
          </cell>
        </row>
        <row r="7">
          <cell r="A7">
            <v>40600</v>
          </cell>
          <cell r="B7">
            <v>40600</v>
          </cell>
          <cell r="C7">
            <v>0</v>
          </cell>
          <cell r="D7">
            <v>0</v>
          </cell>
          <cell r="E7" t="e">
            <v>#REF!</v>
          </cell>
          <cell r="F7" t="e">
            <v>#REF!</v>
          </cell>
        </row>
        <row r="8">
          <cell r="A8">
            <v>40600</v>
          </cell>
          <cell r="B8">
            <v>40600</v>
          </cell>
          <cell r="C8">
            <v>0</v>
          </cell>
          <cell r="D8">
            <v>0</v>
          </cell>
          <cell r="E8" t="e">
            <v>#REF!</v>
          </cell>
          <cell r="F8" t="e">
            <v>#REF!</v>
          </cell>
        </row>
        <row r="9">
          <cell r="A9">
            <v>40700</v>
          </cell>
          <cell r="B9">
            <v>40700</v>
          </cell>
          <cell r="C9">
            <v>1999721.12</v>
          </cell>
          <cell r="D9">
            <v>1999721.12</v>
          </cell>
          <cell r="E9" t="e">
            <v>#REF!</v>
          </cell>
          <cell r="F9" t="e">
            <v>#REF!</v>
          </cell>
        </row>
        <row r="10">
          <cell r="A10">
            <v>40800</v>
          </cell>
          <cell r="B10">
            <v>40800</v>
          </cell>
          <cell r="C10">
            <v>0</v>
          </cell>
          <cell r="D10">
            <v>0</v>
          </cell>
          <cell r="E10" t="e">
            <v>#REF!</v>
          </cell>
          <cell r="F10" t="e">
            <v>#REF!</v>
          </cell>
        </row>
        <row r="11">
          <cell r="A11">
            <v>40900</v>
          </cell>
          <cell r="B11">
            <v>40900</v>
          </cell>
          <cell r="C11">
            <v>259330400</v>
          </cell>
          <cell r="D11">
            <v>259330400</v>
          </cell>
          <cell r="E11" t="e">
            <v>#REF!</v>
          </cell>
          <cell r="F11" t="e">
            <v>#REF!</v>
          </cell>
        </row>
        <row r="12">
          <cell r="A12">
            <v>41000</v>
          </cell>
          <cell r="B12">
            <v>41000</v>
          </cell>
          <cell r="C12">
            <v>0</v>
          </cell>
          <cell r="D12">
            <v>0</v>
          </cell>
          <cell r="E12" t="e">
            <v>#REF!</v>
          </cell>
          <cell r="F12" t="e">
            <v>#REF!</v>
          </cell>
        </row>
        <row r="13">
          <cell r="A13">
            <v>41100</v>
          </cell>
          <cell r="B13">
            <v>41100</v>
          </cell>
          <cell r="C13">
            <v>25526016.670000002</v>
          </cell>
          <cell r="D13">
            <v>25526016.670000002</v>
          </cell>
          <cell r="E13" t="e">
            <v>#REF!</v>
          </cell>
          <cell r="F13" t="e">
            <v>#REF!</v>
          </cell>
        </row>
        <row r="14">
          <cell r="A14">
            <v>41400</v>
          </cell>
          <cell r="B14">
            <v>41400</v>
          </cell>
          <cell r="C14">
            <v>0</v>
          </cell>
          <cell r="D14">
            <v>0</v>
          </cell>
          <cell r="E14" t="e">
            <v>#REF!</v>
          </cell>
          <cell r="F14" t="e">
            <v>#REF!</v>
          </cell>
        </row>
        <row r="15">
          <cell r="A15">
            <v>41500</v>
          </cell>
          <cell r="B15">
            <v>41500</v>
          </cell>
          <cell r="C15">
            <v>5153898.28</v>
          </cell>
          <cell r="D15">
            <v>5153898.28</v>
          </cell>
          <cell r="E15" t="e">
            <v>#REF!</v>
          </cell>
          <cell r="F15" t="e">
            <v>#REF!</v>
          </cell>
        </row>
        <row r="16">
          <cell r="A16">
            <v>41600</v>
          </cell>
          <cell r="B16">
            <v>41600</v>
          </cell>
          <cell r="C16">
            <v>0</v>
          </cell>
          <cell r="D16">
            <v>0</v>
          </cell>
          <cell r="E16" t="e">
            <v>#REF!</v>
          </cell>
          <cell r="F16" t="e">
            <v>#REF!</v>
          </cell>
        </row>
        <row r="17">
          <cell r="A17">
            <v>41800</v>
          </cell>
          <cell r="B17">
            <v>41800</v>
          </cell>
          <cell r="C17">
            <v>0</v>
          </cell>
          <cell r="D17">
            <v>0</v>
          </cell>
          <cell r="E17" t="e">
            <v>#REF!</v>
          </cell>
          <cell r="F17" t="e">
            <v>#REF!</v>
          </cell>
        </row>
        <row r="18">
          <cell r="A18">
            <v>41900</v>
          </cell>
          <cell r="B18">
            <v>41900</v>
          </cell>
          <cell r="C18">
            <v>72434165</v>
          </cell>
          <cell r="D18">
            <v>72434165</v>
          </cell>
          <cell r="E18" t="e">
            <v>#REF!</v>
          </cell>
          <cell r="F18" t="e">
            <v>#REF!</v>
          </cell>
        </row>
        <row r="19">
          <cell r="A19">
            <v>42000</v>
          </cell>
          <cell r="B19">
            <v>42000</v>
          </cell>
          <cell r="C19">
            <v>0</v>
          </cell>
          <cell r="D19">
            <v>0</v>
          </cell>
          <cell r="E19" t="e">
            <v>#REF!</v>
          </cell>
          <cell r="F19" t="e">
            <v>#REF!</v>
          </cell>
        </row>
        <row r="20">
          <cell r="A20">
            <v>42200</v>
          </cell>
          <cell r="B20">
            <v>42200</v>
          </cell>
          <cell r="C20">
            <v>0</v>
          </cell>
          <cell r="D20">
            <v>0</v>
          </cell>
          <cell r="E20" t="e">
            <v>#REF!</v>
          </cell>
          <cell r="F20" t="e">
            <v>#REF!</v>
          </cell>
        </row>
        <row r="21">
          <cell r="A21">
            <v>42700</v>
          </cell>
          <cell r="B21">
            <v>42700</v>
          </cell>
          <cell r="C21">
            <v>0</v>
          </cell>
          <cell r="D21">
            <v>0</v>
          </cell>
          <cell r="E21" t="e">
            <v>#REF!</v>
          </cell>
          <cell r="F21" t="e">
            <v>#REF!</v>
          </cell>
        </row>
        <row r="22">
          <cell r="A22">
            <v>42800</v>
          </cell>
          <cell r="B22">
            <v>42800</v>
          </cell>
          <cell r="C22">
            <v>1979218.99</v>
          </cell>
          <cell r="D22">
            <v>1979218.99</v>
          </cell>
          <cell r="E22" t="e">
            <v>#REF!</v>
          </cell>
          <cell r="F22" t="e">
            <v>#REF!</v>
          </cell>
        </row>
        <row r="23">
          <cell r="A23">
            <v>42900</v>
          </cell>
          <cell r="B23">
            <v>42900</v>
          </cell>
          <cell r="C23">
            <v>0</v>
          </cell>
          <cell r="D23">
            <v>0</v>
          </cell>
          <cell r="E23" t="e">
            <v>#REF!</v>
          </cell>
          <cell r="F23" t="e">
            <v>#REF!</v>
          </cell>
        </row>
        <row r="24">
          <cell r="A24">
            <v>43100</v>
          </cell>
          <cell r="B24">
            <v>43100</v>
          </cell>
          <cell r="C24">
            <v>0</v>
          </cell>
          <cell r="D24">
            <v>0</v>
          </cell>
          <cell r="E24" t="e">
            <v>#REF!</v>
          </cell>
          <cell r="F24" t="e">
            <v>#REF!</v>
          </cell>
        </row>
        <row r="25">
          <cell r="A25">
            <v>43400</v>
          </cell>
          <cell r="B25">
            <v>43400</v>
          </cell>
          <cell r="C25">
            <v>0</v>
          </cell>
          <cell r="D25">
            <v>0</v>
          </cell>
          <cell r="E25" t="e">
            <v>#REF!</v>
          </cell>
          <cell r="F25" t="e">
            <v>#REF!</v>
          </cell>
        </row>
        <row r="26">
          <cell r="A26">
            <v>43600</v>
          </cell>
          <cell r="B26">
            <v>43600</v>
          </cell>
          <cell r="C26">
            <v>0</v>
          </cell>
          <cell r="D26">
            <v>0</v>
          </cell>
          <cell r="E26" t="e">
            <v>#REF!</v>
          </cell>
          <cell r="F26" t="e">
            <v>#REF!</v>
          </cell>
        </row>
        <row r="27">
          <cell r="A27">
            <v>43800</v>
          </cell>
          <cell r="B27">
            <v>43800</v>
          </cell>
          <cell r="C27">
            <v>0</v>
          </cell>
          <cell r="D27">
            <v>0</v>
          </cell>
          <cell r="E27" t="e">
            <v>#REF!</v>
          </cell>
          <cell r="F27" t="e">
            <v>#REF!</v>
          </cell>
        </row>
        <row r="28">
          <cell r="A28">
            <v>44100</v>
          </cell>
          <cell r="B28">
            <v>44100</v>
          </cell>
          <cell r="C28">
            <v>0</v>
          </cell>
          <cell r="D28">
            <v>0</v>
          </cell>
          <cell r="E28" t="e">
            <v>#REF!</v>
          </cell>
          <cell r="F28" t="e">
            <v>#REF!</v>
          </cell>
        </row>
        <row r="29">
          <cell r="A29" t="str">
            <v>44000(GF)</v>
          </cell>
          <cell r="B29">
            <v>44000</v>
          </cell>
          <cell r="C29">
            <v>0</v>
          </cell>
          <cell r="D29">
            <v>0</v>
          </cell>
          <cell r="E29" t="e">
            <v>#REF!</v>
          </cell>
          <cell r="F29" t="e">
            <v>#REF!</v>
          </cell>
        </row>
        <row r="30">
          <cell r="A30">
            <v>46100</v>
          </cell>
          <cell r="B30">
            <v>46100</v>
          </cell>
          <cell r="C30">
            <v>62464195.520000003</v>
          </cell>
          <cell r="D30">
            <v>62464195.520000003</v>
          </cell>
          <cell r="E30" t="e">
            <v>#REF!</v>
          </cell>
          <cell r="F30" t="e">
            <v>#REF!</v>
          </cell>
        </row>
        <row r="31">
          <cell r="A31">
            <v>46200</v>
          </cell>
          <cell r="B31">
            <v>46200</v>
          </cell>
          <cell r="C31">
            <v>9581441.4700000007</v>
          </cell>
          <cell r="D31">
            <v>9581441.4700000007</v>
          </cell>
          <cell r="E31" t="e">
            <v>#REF!</v>
          </cell>
          <cell r="F31" t="e">
            <v>#REF!</v>
          </cell>
        </row>
        <row r="32">
          <cell r="A32">
            <v>46500</v>
          </cell>
          <cell r="B32">
            <v>46500</v>
          </cell>
          <cell r="C32">
            <v>0</v>
          </cell>
          <cell r="D32">
            <v>0</v>
          </cell>
          <cell r="E32" t="e">
            <v>#REF!</v>
          </cell>
          <cell r="F32" t="e">
            <v>#REF!</v>
          </cell>
        </row>
        <row r="33">
          <cell r="A33">
            <v>46600</v>
          </cell>
          <cell r="B33">
            <v>46600</v>
          </cell>
          <cell r="C33">
            <v>20558400.059999999</v>
          </cell>
          <cell r="D33">
            <v>20558400.059999999</v>
          </cell>
          <cell r="E33" t="e">
            <v>#REF!</v>
          </cell>
          <cell r="F33" t="e">
            <v>#REF!</v>
          </cell>
        </row>
        <row r="34">
          <cell r="A34">
            <v>46700</v>
          </cell>
          <cell r="B34">
            <v>46700</v>
          </cell>
          <cell r="C34">
            <v>23134353.66</v>
          </cell>
          <cell r="D34">
            <v>23134353.66</v>
          </cell>
          <cell r="E34" t="e">
            <v>#REF!</v>
          </cell>
          <cell r="F34" t="e">
            <v>#REF!</v>
          </cell>
        </row>
        <row r="35">
          <cell r="A35">
            <v>46900</v>
          </cell>
          <cell r="B35">
            <v>46900</v>
          </cell>
          <cell r="C35">
            <v>0</v>
          </cell>
          <cell r="D35">
            <v>0</v>
          </cell>
          <cell r="E35" t="e">
            <v>#REF!</v>
          </cell>
          <cell r="F35" t="e">
            <v>#REF!</v>
          </cell>
        </row>
        <row r="36">
          <cell r="A36">
            <v>47000</v>
          </cell>
          <cell r="B36">
            <v>47000</v>
          </cell>
          <cell r="C36">
            <v>0</v>
          </cell>
          <cell r="D36">
            <v>0</v>
          </cell>
          <cell r="E36" t="e">
            <v>#REF!</v>
          </cell>
          <cell r="F36" t="e">
            <v>#REF!</v>
          </cell>
        </row>
        <row r="37">
          <cell r="A37">
            <v>47100</v>
          </cell>
          <cell r="B37">
            <v>47100</v>
          </cell>
          <cell r="C37">
            <v>0</v>
          </cell>
          <cell r="D37">
            <v>0</v>
          </cell>
          <cell r="E37" t="e">
            <v>#REF!</v>
          </cell>
          <cell r="F37" t="e">
            <v>#REF!</v>
          </cell>
        </row>
        <row r="38">
          <cell r="A38">
            <v>47200</v>
          </cell>
          <cell r="B38" t="str">
            <v>47200_90001</v>
          </cell>
          <cell r="C38">
            <v>62168516</v>
          </cell>
          <cell r="D38">
            <v>62168516</v>
          </cell>
          <cell r="E38" t="e">
            <v>#REF!</v>
          </cell>
          <cell r="F38" t="e">
            <v>#REF!</v>
          </cell>
        </row>
        <row r="39">
          <cell r="A39">
            <v>47400</v>
          </cell>
          <cell r="B39">
            <v>47400</v>
          </cell>
          <cell r="C39">
            <v>349216.48</v>
          </cell>
          <cell r="D39">
            <v>349216.48</v>
          </cell>
          <cell r="E39" t="e">
            <v>#REF!</v>
          </cell>
          <cell r="F39" t="e">
            <v>#REF!</v>
          </cell>
        </row>
        <row r="40">
          <cell r="A40">
            <v>47500</v>
          </cell>
          <cell r="B40">
            <v>47500</v>
          </cell>
          <cell r="C40">
            <v>0</v>
          </cell>
          <cell r="D40">
            <v>0</v>
          </cell>
          <cell r="E40" t="e">
            <v>#REF!</v>
          </cell>
          <cell r="F40" t="e">
            <v>#REF!</v>
          </cell>
        </row>
        <row r="41">
          <cell r="A41">
            <v>47600</v>
          </cell>
          <cell r="B41">
            <v>47600</v>
          </cell>
          <cell r="C41">
            <v>0</v>
          </cell>
          <cell r="D41">
            <v>0</v>
          </cell>
          <cell r="E41" t="e">
            <v>#REF!</v>
          </cell>
          <cell r="F41" t="e">
            <v>#REF!</v>
          </cell>
        </row>
        <row r="42">
          <cell r="A42">
            <v>47800</v>
          </cell>
          <cell r="B42">
            <v>47800</v>
          </cell>
          <cell r="C42">
            <v>0</v>
          </cell>
          <cell r="D42">
            <v>0</v>
          </cell>
          <cell r="E42" t="e">
            <v>#REF!</v>
          </cell>
          <cell r="F42" t="e">
            <v>#REF!</v>
          </cell>
        </row>
        <row r="43">
          <cell r="A43">
            <v>48000</v>
          </cell>
          <cell r="B43">
            <v>48000</v>
          </cell>
          <cell r="C43">
            <v>0</v>
          </cell>
          <cell r="D43">
            <v>0</v>
          </cell>
          <cell r="E43" t="e">
            <v>#REF!</v>
          </cell>
          <cell r="F43" t="e">
            <v>#REF!</v>
          </cell>
        </row>
        <row r="44">
          <cell r="A44">
            <v>48200</v>
          </cell>
          <cell r="B44">
            <v>48200</v>
          </cell>
          <cell r="C44">
            <v>0</v>
          </cell>
          <cell r="D44">
            <v>0</v>
          </cell>
          <cell r="E44" t="e">
            <v>#REF!</v>
          </cell>
          <cell r="F44" t="e">
            <v>#REF!</v>
          </cell>
        </row>
        <row r="45">
          <cell r="A45">
            <v>48300</v>
          </cell>
          <cell r="B45">
            <v>48300</v>
          </cell>
          <cell r="C45">
            <v>0</v>
          </cell>
          <cell r="D45">
            <v>0</v>
          </cell>
          <cell r="E45" t="e">
            <v>#REF!</v>
          </cell>
          <cell r="F45" t="e">
            <v>#REF!</v>
          </cell>
        </row>
        <row r="46">
          <cell r="A46">
            <v>48400</v>
          </cell>
          <cell r="B46">
            <v>48400</v>
          </cell>
          <cell r="C46">
            <v>2252072696.77</v>
          </cell>
          <cell r="D46">
            <v>2252072696.77</v>
          </cell>
          <cell r="E46" t="e">
            <v>#REF!</v>
          </cell>
          <cell r="F46" t="e">
            <v>#REF!</v>
          </cell>
        </row>
        <row r="47">
          <cell r="A47">
            <v>48600</v>
          </cell>
          <cell r="B47">
            <v>48600</v>
          </cell>
          <cell r="C47">
            <v>0</v>
          </cell>
          <cell r="D47">
            <v>0</v>
          </cell>
          <cell r="E47" t="e">
            <v>#REF!</v>
          </cell>
          <cell r="F47" t="e">
            <v>#REF!</v>
          </cell>
        </row>
        <row r="48">
          <cell r="A48">
            <v>48800</v>
          </cell>
          <cell r="B48">
            <v>48800</v>
          </cell>
          <cell r="C48">
            <v>6817919.2699999996</v>
          </cell>
          <cell r="D48">
            <v>6817919.2699999996</v>
          </cell>
          <cell r="E48" t="e">
            <v>#REF!</v>
          </cell>
          <cell r="F48" t="e">
            <v>#REF!</v>
          </cell>
        </row>
        <row r="49">
          <cell r="A49">
            <v>48900</v>
          </cell>
          <cell r="B49">
            <v>48900</v>
          </cell>
          <cell r="C49">
            <v>0</v>
          </cell>
          <cell r="D49">
            <v>0</v>
          </cell>
          <cell r="E49" t="e">
            <v>#REF!</v>
          </cell>
          <cell r="F49" t="e">
            <v>#REF!</v>
          </cell>
        </row>
        <row r="50">
          <cell r="A50">
            <v>49000</v>
          </cell>
          <cell r="B50">
            <v>49000</v>
          </cell>
          <cell r="C50">
            <v>0</v>
          </cell>
          <cell r="D50">
            <v>0</v>
          </cell>
          <cell r="E50" t="e">
            <v>#REF!</v>
          </cell>
          <cell r="F50" t="e">
            <v>#REF!</v>
          </cell>
        </row>
        <row r="51">
          <cell r="A51">
            <v>49200</v>
          </cell>
          <cell r="B51">
            <v>49200</v>
          </cell>
          <cell r="C51">
            <v>0</v>
          </cell>
          <cell r="D51">
            <v>0</v>
          </cell>
          <cell r="E51" t="e">
            <v>#REF!</v>
          </cell>
          <cell r="F51" t="e">
            <v>#REF!</v>
          </cell>
        </row>
        <row r="52">
          <cell r="A52">
            <v>49600</v>
          </cell>
          <cell r="B52">
            <v>49600</v>
          </cell>
          <cell r="C52">
            <v>0</v>
          </cell>
          <cell r="D52">
            <v>0</v>
          </cell>
          <cell r="E52" t="e">
            <v>#REF!</v>
          </cell>
          <cell r="F52" t="e">
            <v>#REF!</v>
          </cell>
        </row>
        <row r="53">
          <cell r="A53">
            <v>85040</v>
          </cell>
          <cell r="B53">
            <v>85040</v>
          </cell>
          <cell r="C53">
            <v>0</v>
          </cell>
          <cell r="D53">
            <v>0</v>
          </cell>
          <cell r="E53" t="e">
            <v>#REF!</v>
          </cell>
          <cell r="F53" t="e">
            <v>#REF!</v>
          </cell>
        </row>
        <row r="54">
          <cell r="A54">
            <v>85240</v>
          </cell>
          <cell r="B54">
            <v>85240</v>
          </cell>
          <cell r="C54">
            <v>0</v>
          </cell>
          <cell r="D54">
            <v>0</v>
          </cell>
          <cell r="E54" t="e">
            <v>#REF!</v>
          </cell>
          <cell r="F54" t="e">
            <v>#REF!</v>
          </cell>
        </row>
        <row r="55">
          <cell r="A55">
            <v>85440</v>
          </cell>
          <cell r="B55">
            <v>85440</v>
          </cell>
          <cell r="C55">
            <v>0</v>
          </cell>
          <cell r="D55">
            <v>0</v>
          </cell>
          <cell r="E55" t="e">
            <v>#REF!</v>
          </cell>
          <cell r="F55" t="e">
            <v>#REF!</v>
          </cell>
        </row>
        <row r="56">
          <cell r="A56">
            <v>85640</v>
          </cell>
          <cell r="B56">
            <v>85640</v>
          </cell>
          <cell r="C56">
            <v>0</v>
          </cell>
          <cell r="D56">
            <v>0</v>
          </cell>
          <cell r="E56" t="e">
            <v>#REF!</v>
          </cell>
          <cell r="F56" t="e">
            <v>#REF!</v>
          </cell>
        </row>
        <row r="57">
          <cell r="A57">
            <v>85840</v>
          </cell>
          <cell r="B57">
            <v>85840</v>
          </cell>
          <cell r="C57">
            <v>0</v>
          </cell>
          <cell r="D57">
            <v>0</v>
          </cell>
          <cell r="E57" t="e">
            <v>#REF!</v>
          </cell>
          <cell r="F57" t="e">
            <v>#REF!</v>
          </cell>
        </row>
        <row r="58">
          <cell r="A58">
            <v>86040</v>
          </cell>
          <cell r="B58">
            <v>86040</v>
          </cell>
          <cell r="C58">
            <v>0</v>
          </cell>
          <cell r="D58">
            <v>0</v>
          </cell>
          <cell r="E58" t="e">
            <v>#REF!</v>
          </cell>
          <cell r="F58" t="e">
            <v>#REF!</v>
          </cell>
        </row>
        <row r="59">
          <cell r="A59">
            <v>86240</v>
          </cell>
          <cell r="B59">
            <v>86240</v>
          </cell>
          <cell r="C59">
            <v>0</v>
          </cell>
          <cell r="D59">
            <v>0</v>
          </cell>
          <cell r="E59" t="e">
            <v>#REF!</v>
          </cell>
          <cell r="F59" t="e">
            <v>#REF!</v>
          </cell>
        </row>
        <row r="60">
          <cell r="A60">
            <v>86440</v>
          </cell>
          <cell r="B60">
            <v>86440</v>
          </cell>
          <cell r="C60">
            <v>0</v>
          </cell>
          <cell r="D60">
            <v>0</v>
          </cell>
          <cell r="E60" t="e">
            <v>#REF!</v>
          </cell>
          <cell r="F60" t="e">
            <v>#REF!</v>
          </cell>
        </row>
        <row r="61">
          <cell r="A61">
            <v>86640</v>
          </cell>
          <cell r="B61">
            <v>86640</v>
          </cell>
          <cell r="C61">
            <v>0</v>
          </cell>
          <cell r="D61">
            <v>0</v>
          </cell>
          <cell r="E61" t="e">
            <v>#REF!</v>
          </cell>
          <cell r="F61" t="e">
            <v>#REF!</v>
          </cell>
        </row>
        <row r="62">
          <cell r="A62">
            <v>86840</v>
          </cell>
          <cell r="B62">
            <v>86840</v>
          </cell>
          <cell r="C62">
            <v>0</v>
          </cell>
          <cell r="D62">
            <v>0</v>
          </cell>
          <cell r="E62" t="e">
            <v>#REF!</v>
          </cell>
          <cell r="F62" t="e">
            <v>#REF!</v>
          </cell>
        </row>
        <row r="63">
          <cell r="A63">
            <v>87240</v>
          </cell>
          <cell r="B63">
            <v>87240</v>
          </cell>
          <cell r="C63">
            <v>0</v>
          </cell>
          <cell r="D63">
            <v>0</v>
          </cell>
          <cell r="E63" t="e">
            <v>#REF!</v>
          </cell>
          <cell r="F63" t="e">
            <v>#REF!</v>
          </cell>
        </row>
        <row r="64">
          <cell r="A64">
            <v>87640</v>
          </cell>
          <cell r="B64">
            <v>87640</v>
          </cell>
          <cell r="C64">
            <v>0</v>
          </cell>
          <cell r="D64">
            <v>0</v>
          </cell>
          <cell r="E64" t="e">
            <v>#REF!</v>
          </cell>
          <cell r="F64" t="e">
            <v>#REF!</v>
          </cell>
        </row>
        <row r="65">
          <cell r="A65">
            <v>88040</v>
          </cell>
          <cell r="B65">
            <v>88040</v>
          </cell>
          <cell r="C65">
            <v>0</v>
          </cell>
          <cell r="D65">
            <v>0</v>
          </cell>
          <cell r="E65" t="e">
            <v>#REF!</v>
          </cell>
          <cell r="F65" t="e">
            <v>#REF!</v>
          </cell>
        </row>
        <row r="66">
          <cell r="A66">
            <v>88440</v>
          </cell>
          <cell r="B66">
            <v>88440</v>
          </cell>
          <cell r="C66">
            <v>0</v>
          </cell>
          <cell r="D66">
            <v>0</v>
          </cell>
          <cell r="E66" t="e">
            <v>#REF!</v>
          </cell>
          <cell r="F66" t="e">
            <v>#REF!</v>
          </cell>
        </row>
        <row r="67">
          <cell r="A67">
            <v>88640</v>
          </cell>
          <cell r="B67">
            <v>88640</v>
          </cell>
          <cell r="C67">
            <v>0</v>
          </cell>
          <cell r="D67">
            <v>0</v>
          </cell>
          <cell r="E67" t="e">
            <v>#REF!</v>
          </cell>
          <cell r="F67" t="e">
            <v>#REF!</v>
          </cell>
        </row>
        <row r="68">
          <cell r="A68">
            <v>88840</v>
          </cell>
          <cell r="B68">
            <v>88840</v>
          </cell>
          <cell r="C68">
            <v>0</v>
          </cell>
          <cell r="D68">
            <v>0</v>
          </cell>
          <cell r="E68" t="e">
            <v>#REF!</v>
          </cell>
          <cell r="F68" t="e">
            <v>#REF!</v>
          </cell>
        </row>
        <row r="69">
          <cell r="A69">
            <v>90000</v>
          </cell>
          <cell r="B69">
            <v>90000</v>
          </cell>
          <cell r="C69">
            <v>0</v>
          </cell>
          <cell r="D69">
            <v>0</v>
          </cell>
          <cell r="E69" t="e">
            <v>#REF!</v>
          </cell>
          <cell r="F69" t="e">
            <v>#REF!</v>
          </cell>
        </row>
        <row r="70">
          <cell r="A70">
            <v>91000</v>
          </cell>
          <cell r="B70">
            <v>91000</v>
          </cell>
          <cell r="C70">
            <v>12866101.619999999</v>
          </cell>
          <cell r="D70">
            <v>12866101.619999999</v>
          </cell>
          <cell r="E70" t="e">
            <v>#REF!</v>
          </cell>
          <cell r="F70" t="e">
            <v>#REF!</v>
          </cell>
        </row>
        <row r="71">
          <cell r="A71">
            <v>91100</v>
          </cell>
          <cell r="B71">
            <v>91100</v>
          </cell>
          <cell r="C71">
            <v>1700</v>
          </cell>
          <cell r="D71">
            <v>1700</v>
          </cell>
          <cell r="E71" t="e">
            <v>#REF!</v>
          </cell>
          <cell r="F71" t="e">
            <v>#REF!</v>
          </cell>
        </row>
        <row r="72">
          <cell r="A72">
            <v>91200</v>
          </cell>
          <cell r="B72">
            <v>46200</v>
          </cell>
          <cell r="C72">
            <v>0</v>
          </cell>
          <cell r="D72">
            <v>0</v>
          </cell>
          <cell r="E72" t="e">
            <v>#REF!</v>
          </cell>
          <cell r="F72" t="e">
            <v>#REF!</v>
          </cell>
        </row>
        <row r="73">
          <cell r="A73">
            <v>91300</v>
          </cell>
          <cell r="B73">
            <v>91300</v>
          </cell>
          <cell r="C73">
            <v>0</v>
          </cell>
          <cell r="D73">
            <v>0</v>
          </cell>
          <cell r="E73" t="e">
            <v>#REF!</v>
          </cell>
          <cell r="F73" t="e">
            <v>#REF!</v>
          </cell>
        </row>
        <row r="74">
          <cell r="A74">
            <v>91400</v>
          </cell>
          <cell r="B74">
            <v>91400</v>
          </cell>
          <cell r="C74">
            <v>0</v>
          </cell>
          <cell r="D74">
            <v>0</v>
          </cell>
          <cell r="E74" t="e">
            <v>#REF!</v>
          </cell>
          <cell r="F74" t="e">
            <v>#REF!</v>
          </cell>
        </row>
        <row r="75">
          <cell r="A75">
            <v>91600</v>
          </cell>
          <cell r="B75">
            <v>91600</v>
          </cell>
          <cell r="C75">
            <v>89280000</v>
          </cell>
          <cell r="D75">
            <v>89280000</v>
          </cell>
          <cell r="E75" t="e">
            <v>#REF!</v>
          </cell>
          <cell r="F75" t="e">
            <v>#REF!</v>
          </cell>
        </row>
        <row r="76">
          <cell r="A76">
            <v>91700</v>
          </cell>
          <cell r="B76">
            <v>91700</v>
          </cell>
          <cell r="C76">
            <v>49781</v>
          </cell>
          <cell r="D76">
            <v>49781</v>
          </cell>
          <cell r="E76" t="e">
            <v>#REF!</v>
          </cell>
          <cell r="F76" t="e">
            <v>#REF!</v>
          </cell>
        </row>
        <row r="77">
          <cell r="A77">
            <v>91800</v>
          </cell>
          <cell r="B77">
            <v>91800</v>
          </cell>
          <cell r="C77">
            <v>0</v>
          </cell>
          <cell r="D77">
            <v>0</v>
          </cell>
          <cell r="E77" t="e">
            <v>#REF!</v>
          </cell>
          <cell r="F77" t="e">
            <v>#REF!</v>
          </cell>
        </row>
        <row r="78">
          <cell r="A78">
            <v>91900</v>
          </cell>
          <cell r="B78">
            <v>91900</v>
          </cell>
          <cell r="C78">
            <v>357596.33</v>
          </cell>
          <cell r="D78">
            <v>357596.33</v>
          </cell>
          <cell r="E78" t="e">
            <v>#REF!</v>
          </cell>
          <cell r="F78" t="e">
            <v>#REF!</v>
          </cell>
        </row>
        <row r="79">
          <cell r="A79">
            <v>92100</v>
          </cell>
          <cell r="B79">
            <v>92100</v>
          </cell>
          <cell r="C79">
            <v>0</v>
          </cell>
          <cell r="D79">
            <v>0</v>
          </cell>
          <cell r="E79" t="e">
            <v>#REF!</v>
          </cell>
          <cell r="F79" t="e">
            <v>#REF!</v>
          </cell>
        </row>
        <row r="80">
          <cell r="A80">
            <v>92200</v>
          </cell>
          <cell r="B80">
            <v>92200</v>
          </cell>
          <cell r="C80">
            <v>335237532</v>
          </cell>
          <cell r="D80">
            <v>335237532</v>
          </cell>
          <cell r="E80" t="e">
            <v>#REF!</v>
          </cell>
          <cell r="F80" t="e">
            <v>#REF!</v>
          </cell>
        </row>
        <row r="81">
          <cell r="A81">
            <v>92300</v>
          </cell>
          <cell r="B81">
            <v>92300</v>
          </cell>
          <cell r="C81">
            <v>0</v>
          </cell>
          <cell r="D81">
            <v>0</v>
          </cell>
          <cell r="E81" t="e">
            <v>#REF!</v>
          </cell>
          <cell r="F81" t="e">
            <v>#REF!</v>
          </cell>
        </row>
        <row r="82">
          <cell r="A82">
            <v>92400</v>
          </cell>
          <cell r="B82">
            <v>92400</v>
          </cell>
          <cell r="C82">
            <v>0</v>
          </cell>
          <cell r="D82">
            <v>0</v>
          </cell>
          <cell r="E82" t="e">
            <v>#REF!</v>
          </cell>
          <cell r="F82" t="e">
            <v>#REF!</v>
          </cell>
        </row>
        <row r="83">
          <cell r="A83">
            <v>92600</v>
          </cell>
          <cell r="B83">
            <v>92600</v>
          </cell>
          <cell r="C83">
            <v>0</v>
          </cell>
          <cell r="D83">
            <v>0</v>
          </cell>
          <cell r="E83" t="e">
            <v>#REF!</v>
          </cell>
          <cell r="F83" t="e">
            <v>#REF!</v>
          </cell>
        </row>
        <row r="84">
          <cell r="A84" t="str">
            <v>92700(GA)</v>
          </cell>
          <cell r="B84">
            <v>92700</v>
          </cell>
          <cell r="C84">
            <v>0</v>
          </cell>
          <cell r="D84">
            <v>0</v>
          </cell>
          <cell r="E84" t="e">
            <v>#REF!</v>
          </cell>
          <cell r="F84" t="e">
            <v>#REF!</v>
          </cell>
        </row>
        <row r="85">
          <cell r="A85" t="str">
            <v>92700(ENT)</v>
          </cell>
          <cell r="B85">
            <v>92700</v>
          </cell>
          <cell r="C85">
            <v>4970466</v>
          </cell>
          <cell r="D85">
            <v>4970466</v>
          </cell>
          <cell r="E85" t="e">
            <v>#REF!</v>
          </cell>
          <cell r="F85" t="e">
            <v>#REF!</v>
          </cell>
        </row>
        <row r="86">
          <cell r="A86">
            <v>92800</v>
          </cell>
          <cell r="B86">
            <v>92800</v>
          </cell>
          <cell r="C86">
            <v>0</v>
          </cell>
          <cell r="D86">
            <v>0</v>
          </cell>
          <cell r="E86" t="e">
            <v>#REF!</v>
          </cell>
          <cell r="F86" t="e">
            <v>#REF!</v>
          </cell>
        </row>
        <row r="87">
          <cell r="A87">
            <v>92900</v>
          </cell>
          <cell r="B87">
            <v>92900</v>
          </cell>
          <cell r="C87">
            <v>0</v>
          </cell>
          <cell r="D87">
            <v>0</v>
          </cell>
          <cell r="E87" t="e">
            <v>#REF!</v>
          </cell>
          <cell r="F87" t="e">
            <v>#REF!</v>
          </cell>
        </row>
        <row r="88">
          <cell r="A88">
            <v>93000</v>
          </cell>
          <cell r="B88">
            <v>93000</v>
          </cell>
          <cell r="C88">
            <v>0</v>
          </cell>
          <cell r="D88">
            <v>0</v>
          </cell>
          <cell r="E88" t="e">
            <v>#REF!</v>
          </cell>
          <cell r="F88" t="e">
            <v>#REF!</v>
          </cell>
        </row>
        <row r="89">
          <cell r="A89" t="str">
            <v>930X</v>
          </cell>
          <cell r="B89" t="str">
            <v>930X</v>
          </cell>
          <cell r="C89">
            <v>0</v>
          </cell>
          <cell r="D89">
            <v>0</v>
          </cell>
          <cell r="E89" t="e">
            <v>#REF!</v>
          </cell>
          <cell r="F89" t="e">
            <v>#REF!</v>
          </cell>
        </row>
        <row r="90">
          <cell r="A90">
            <v>94000</v>
          </cell>
          <cell r="B90">
            <v>94000</v>
          </cell>
          <cell r="C90">
            <v>0</v>
          </cell>
          <cell r="D90">
            <v>0</v>
          </cell>
          <cell r="E90" t="e">
            <v>#REF!</v>
          </cell>
          <cell r="F90" t="e">
            <v>#REF!</v>
          </cell>
        </row>
        <row r="91">
          <cell r="A91">
            <v>94200</v>
          </cell>
          <cell r="B91">
            <v>46200</v>
          </cell>
          <cell r="C91">
            <v>0</v>
          </cell>
          <cell r="D91">
            <v>0</v>
          </cell>
          <cell r="E91" t="e">
            <v>#REF!</v>
          </cell>
          <cell r="F91" t="e">
            <v>#REF!</v>
          </cell>
        </row>
        <row r="92">
          <cell r="A92">
            <v>94400</v>
          </cell>
          <cell r="B92">
            <v>94400</v>
          </cell>
          <cell r="C92">
            <v>0</v>
          </cell>
          <cell r="D92">
            <v>0</v>
          </cell>
          <cell r="E92" t="e">
            <v>#REF!</v>
          </cell>
          <cell r="F92" t="e">
            <v>#REF!</v>
          </cell>
        </row>
        <row r="93">
          <cell r="A93">
            <v>94700</v>
          </cell>
          <cell r="B93">
            <v>94700</v>
          </cell>
          <cell r="C93">
            <v>0</v>
          </cell>
          <cell r="D93">
            <v>0</v>
          </cell>
          <cell r="E93" t="e">
            <v>#REF!</v>
          </cell>
          <cell r="F93" t="e">
            <v>#REF!</v>
          </cell>
        </row>
        <row r="94">
          <cell r="A94">
            <v>94800</v>
          </cell>
          <cell r="B94">
            <v>94800</v>
          </cell>
          <cell r="C94">
            <v>0</v>
          </cell>
          <cell r="D94">
            <v>0</v>
          </cell>
          <cell r="E94" t="e">
            <v>#REF!</v>
          </cell>
          <cell r="F94" t="e">
            <v>#REF!</v>
          </cell>
        </row>
        <row r="95">
          <cell r="A95">
            <v>94900</v>
          </cell>
          <cell r="B95">
            <v>94900</v>
          </cell>
          <cell r="C95">
            <v>0</v>
          </cell>
          <cell r="D95">
            <v>0</v>
          </cell>
          <cell r="E95" t="e">
            <v>#REF!</v>
          </cell>
          <cell r="F95" t="e">
            <v>#REF!</v>
          </cell>
        </row>
        <row r="96">
          <cell r="A96">
            <v>95000</v>
          </cell>
          <cell r="B96">
            <v>95000</v>
          </cell>
          <cell r="C96">
            <v>0</v>
          </cell>
          <cell r="D96">
            <v>0</v>
          </cell>
          <cell r="E96" t="e">
            <v>#REF!</v>
          </cell>
          <cell r="F96" t="e">
            <v>#REF!</v>
          </cell>
        </row>
        <row r="97">
          <cell r="A97">
            <v>95100</v>
          </cell>
          <cell r="B97">
            <v>95100</v>
          </cell>
          <cell r="C97">
            <v>0</v>
          </cell>
          <cell r="D97">
            <v>0</v>
          </cell>
          <cell r="E97" t="e">
            <v>#REF!</v>
          </cell>
          <cell r="F97" t="e">
            <v>#REF!</v>
          </cell>
        </row>
        <row r="98">
          <cell r="A98">
            <v>95500</v>
          </cell>
          <cell r="B98">
            <v>95500</v>
          </cell>
          <cell r="C98">
            <v>0</v>
          </cell>
          <cell r="D98">
            <v>0</v>
          </cell>
          <cell r="E98" t="e">
            <v>#REF!</v>
          </cell>
          <cell r="F98" t="e">
            <v>#REF!</v>
          </cell>
        </row>
        <row r="99">
          <cell r="A99">
            <v>95800</v>
          </cell>
          <cell r="B99">
            <v>95800</v>
          </cell>
          <cell r="C99">
            <v>0</v>
          </cell>
          <cell r="D99">
            <v>0</v>
          </cell>
          <cell r="E99" t="e">
            <v>#REF!</v>
          </cell>
          <cell r="F99" t="e">
            <v>#REF!</v>
          </cell>
        </row>
        <row r="100">
          <cell r="A100">
            <v>96000</v>
          </cell>
          <cell r="B100">
            <v>48400</v>
          </cell>
          <cell r="C100">
            <v>0</v>
          </cell>
          <cell r="D100">
            <v>0</v>
          </cell>
          <cell r="E100" t="e">
            <v>#REF!</v>
          </cell>
          <cell r="F100" t="e">
            <v>#REF!</v>
          </cell>
        </row>
        <row r="101">
          <cell r="A101">
            <v>96800</v>
          </cell>
          <cell r="B101">
            <v>96800</v>
          </cell>
          <cell r="C101">
            <v>0</v>
          </cell>
          <cell r="D101">
            <v>0</v>
          </cell>
          <cell r="E101" t="e">
            <v>#REF!</v>
          </cell>
          <cell r="F101" t="e">
            <v>#REF!</v>
          </cell>
        </row>
        <row r="102">
          <cell r="A102">
            <v>96900</v>
          </cell>
          <cell r="B102">
            <v>96900</v>
          </cell>
          <cell r="C102">
            <v>0</v>
          </cell>
          <cell r="D102">
            <v>0</v>
          </cell>
          <cell r="E102" t="e">
            <v>#REF!</v>
          </cell>
          <cell r="F102" t="e">
            <v>#REF!</v>
          </cell>
        </row>
        <row r="103">
          <cell r="A103">
            <v>97300</v>
          </cell>
          <cell r="B103">
            <v>97300</v>
          </cell>
          <cell r="C103">
            <v>0</v>
          </cell>
          <cell r="D103">
            <v>0</v>
          </cell>
          <cell r="E103" t="e">
            <v>#REF!</v>
          </cell>
          <cell r="F103" t="e">
            <v>#REF!</v>
          </cell>
        </row>
        <row r="104">
          <cell r="A104">
            <v>97400</v>
          </cell>
          <cell r="B104">
            <v>97400</v>
          </cell>
          <cell r="C104">
            <v>140033</v>
          </cell>
          <cell r="D104">
            <v>140033</v>
          </cell>
          <cell r="E104" t="e">
            <v>#REF!</v>
          </cell>
          <cell r="F104" t="e">
            <v>#REF!</v>
          </cell>
        </row>
        <row r="105">
          <cell r="A105">
            <v>97500</v>
          </cell>
          <cell r="B105">
            <v>97500</v>
          </cell>
          <cell r="C105">
            <v>0</v>
          </cell>
          <cell r="D105">
            <v>0</v>
          </cell>
          <cell r="E105" t="e">
            <v>#REF!</v>
          </cell>
          <cell r="F105" t="e">
            <v>#REF!</v>
          </cell>
        </row>
        <row r="106">
          <cell r="A106">
            <v>97600</v>
          </cell>
          <cell r="B106">
            <v>97600</v>
          </cell>
          <cell r="C106">
            <v>418682.59</v>
          </cell>
          <cell r="D106">
            <v>418682.59</v>
          </cell>
          <cell r="E106" t="e">
            <v>#REF!</v>
          </cell>
          <cell r="F106" t="e">
            <v>#REF!</v>
          </cell>
        </row>
        <row r="107">
          <cell r="A107">
            <v>97700</v>
          </cell>
          <cell r="B107">
            <v>97700</v>
          </cell>
          <cell r="C107">
            <v>0</v>
          </cell>
          <cell r="D107">
            <v>0</v>
          </cell>
          <cell r="E107" t="e">
            <v>#REF!</v>
          </cell>
          <cell r="F107" t="e">
            <v>#REF!</v>
          </cell>
        </row>
        <row r="108">
          <cell r="A108">
            <v>98000</v>
          </cell>
          <cell r="B108">
            <v>98000</v>
          </cell>
          <cell r="C108">
            <v>0</v>
          </cell>
          <cell r="D108">
            <v>0</v>
          </cell>
          <cell r="E108" t="e">
            <v>#REF!</v>
          </cell>
          <cell r="F108" t="e">
            <v>#REF!</v>
          </cell>
        </row>
        <row r="109">
          <cell r="A109">
            <v>98100</v>
          </cell>
          <cell r="B109">
            <v>98100</v>
          </cell>
          <cell r="C109">
            <v>0</v>
          </cell>
          <cell r="D109">
            <v>0</v>
          </cell>
          <cell r="E109" t="e">
            <v>#REF!</v>
          </cell>
          <cell r="F109" t="e">
            <v>#REF!</v>
          </cell>
        </row>
        <row r="110">
          <cell r="A110">
            <v>98200</v>
          </cell>
          <cell r="B110">
            <v>98200</v>
          </cell>
          <cell r="C110">
            <v>0</v>
          </cell>
          <cell r="D110">
            <v>0</v>
          </cell>
          <cell r="E110" t="e">
            <v>#REF!</v>
          </cell>
          <cell r="F110" t="e">
            <v>#REF!</v>
          </cell>
        </row>
        <row r="111">
          <cell r="A111">
            <v>98400</v>
          </cell>
          <cell r="B111">
            <v>46200</v>
          </cell>
          <cell r="C111">
            <v>0</v>
          </cell>
          <cell r="D111">
            <v>0</v>
          </cell>
          <cell r="E111" t="e">
            <v>#REF!</v>
          </cell>
          <cell r="F111" t="e">
            <v>#REF!</v>
          </cell>
        </row>
        <row r="112">
          <cell r="A112">
            <v>98800</v>
          </cell>
          <cell r="B112">
            <v>98800</v>
          </cell>
          <cell r="C112">
            <v>0</v>
          </cell>
          <cell r="D112">
            <v>0</v>
          </cell>
          <cell r="E112" t="e">
            <v>#REF!</v>
          </cell>
          <cell r="F112" t="e">
            <v>#REF!</v>
          </cell>
        </row>
        <row r="113">
          <cell r="A113">
            <v>98900</v>
          </cell>
          <cell r="B113">
            <v>98900</v>
          </cell>
          <cell r="C113">
            <v>0</v>
          </cell>
          <cell r="D113">
            <v>0</v>
          </cell>
          <cell r="E113" t="e">
            <v>#REF!</v>
          </cell>
          <cell r="F113" t="e">
            <v>#REF!</v>
          </cell>
        </row>
        <row r="114">
          <cell r="A114">
            <v>99000</v>
          </cell>
          <cell r="B114">
            <v>99000</v>
          </cell>
          <cell r="C114">
            <v>0</v>
          </cell>
          <cell r="D114">
            <v>0</v>
          </cell>
          <cell r="E114" t="e">
            <v>#REF!</v>
          </cell>
          <cell r="F114" t="e">
            <v>#REF!</v>
          </cell>
        </row>
        <row r="115">
          <cell r="A115">
            <v>99100</v>
          </cell>
          <cell r="B115">
            <v>99100</v>
          </cell>
          <cell r="C115">
            <v>0</v>
          </cell>
          <cell r="D115">
            <v>0</v>
          </cell>
          <cell r="E115" t="e">
            <v>#REF!</v>
          </cell>
          <cell r="F115" t="e">
            <v>#REF!</v>
          </cell>
        </row>
        <row r="116">
          <cell r="A116">
            <v>99200</v>
          </cell>
          <cell r="B116">
            <v>99200</v>
          </cell>
          <cell r="C116">
            <v>0</v>
          </cell>
          <cell r="D116">
            <v>0</v>
          </cell>
          <cell r="E116" t="e">
            <v>#REF!</v>
          </cell>
          <cell r="F116" t="e">
            <v>#REF!</v>
          </cell>
        </row>
        <row r="117">
          <cell r="A117">
            <v>53620</v>
          </cell>
          <cell r="B117">
            <v>53620</v>
          </cell>
          <cell r="C117">
            <v>0</v>
          </cell>
          <cell r="D117">
            <v>0</v>
          </cell>
          <cell r="E117" t="e">
            <v>#REF!</v>
          </cell>
          <cell r="F117" t="e">
            <v>#REF!</v>
          </cell>
        </row>
        <row r="118">
          <cell r="A118">
            <v>53920</v>
          </cell>
          <cell r="B118">
            <v>53920</v>
          </cell>
          <cell r="C118">
            <v>0</v>
          </cell>
          <cell r="D118">
            <v>0</v>
          </cell>
          <cell r="E118" t="e">
            <v>#REF!</v>
          </cell>
          <cell r="F118" t="e">
            <v>#REF!</v>
          </cell>
        </row>
        <row r="119">
          <cell r="A119">
            <v>50910</v>
          </cell>
          <cell r="B119">
            <v>50910</v>
          </cell>
          <cell r="C119">
            <v>0</v>
          </cell>
          <cell r="D119">
            <v>0</v>
          </cell>
          <cell r="E119" t="e">
            <v>#REF!</v>
          </cell>
          <cell r="F119" t="e">
            <v>#REF!</v>
          </cell>
        </row>
        <row r="120">
          <cell r="A120" t="str">
            <v>47200(CU)</v>
          </cell>
          <cell r="B120">
            <v>50920</v>
          </cell>
          <cell r="C120">
            <v>0</v>
          </cell>
          <cell r="D120">
            <v>0</v>
          </cell>
          <cell r="E120" t="e">
            <v>#REF!</v>
          </cell>
          <cell r="F120" t="e">
            <v>#REF!</v>
          </cell>
        </row>
        <row r="121">
          <cell r="A121">
            <v>50320</v>
          </cell>
          <cell r="B121">
            <v>50320</v>
          </cell>
          <cell r="C121">
            <v>0</v>
          </cell>
          <cell r="D121">
            <v>0</v>
          </cell>
          <cell r="E121" t="e">
            <v>#REF!</v>
          </cell>
          <cell r="F121" t="e">
            <v>#REF!</v>
          </cell>
        </row>
        <row r="122">
          <cell r="A122">
            <v>50340</v>
          </cell>
          <cell r="B122">
            <v>50340</v>
          </cell>
          <cell r="C122">
            <v>80247</v>
          </cell>
          <cell r="D122">
            <v>80247</v>
          </cell>
          <cell r="E122" t="e">
            <v>#REF!</v>
          </cell>
          <cell r="F122" t="e">
            <v>#REF!</v>
          </cell>
        </row>
        <row r="123">
          <cell r="A123">
            <v>50350</v>
          </cell>
          <cell r="B123">
            <v>50350</v>
          </cell>
          <cell r="C123">
            <v>0</v>
          </cell>
          <cell r="D123">
            <v>0</v>
          </cell>
          <cell r="E123" t="e">
            <v>#REF!</v>
          </cell>
          <cell r="F123" t="e">
            <v>#REF!</v>
          </cell>
        </row>
        <row r="124">
          <cell r="A124">
            <v>50360</v>
          </cell>
          <cell r="B124">
            <v>50360</v>
          </cell>
          <cell r="C124">
            <v>87580</v>
          </cell>
          <cell r="D124">
            <v>87580</v>
          </cell>
          <cell r="E124" t="e">
            <v>#REF!</v>
          </cell>
          <cell r="F124" t="e">
            <v>#REF!</v>
          </cell>
        </row>
        <row r="125">
          <cell r="A125">
            <v>54310</v>
          </cell>
          <cell r="B125">
            <v>54310</v>
          </cell>
          <cell r="C125">
            <v>0</v>
          </cell>
          <cell r="D125">
            <v>0</v>
          </cell>
          <cell r="E125" t="e">
            <v>#REF!</v>
          </cell>
          <cell r="F125" t="e">
            <v>#REF!</v>
          </cell>
        </row>
        <row r="126">
          <cell r="A126">
            <v>54520</v>
          </cell>
          <cell r="B126">
            <v>54520</v>
          </cell>
          <cell r="C126">
            <v>600839</v>
          </cell>
          <cell r="D126">
            <v>600839</v>
          </cell>
          <cell r="E126" t="e">
            <v>#REF!</v>
          </cell>
          <cell r="F126" t="e">
            <v>#REF!</v>
          </cell>
        </row>
        <row r="127">
          <cell r="A127">
            <v>51220</v>
          </cell>
          <cell r="B127">
            <v>51220</v>
          </cell>
          <cell r="C127">
            <v>0</v>
          </cell>
          <cell r="D127">
            <v>0</v>
          </cell>
          <cell r="E127" t="e">
            <v>#REF!</v>
          </cell>
          <cell r="F127" t="e">
            <v>#REF!</v>
          </cell>
        </row>
        <row r="128">
          <cell r="A128">
            <v>51240</v>
          </cell>
          <cell r="B128">
            <v>51240</v>
          </cell>
          <cell r="C128">
            <v>0</v>
          </cell>
          <cell r="D128">
            <v>0</v>
          </cell>
          <cell r="E128" t="e">
            <v>#REF!</v>
          </cell>
          <cell r="F128" t="e">
            <v>#REF!</v>
          </cell>
        </row>
        <row r="129">
          <cell r="A129">
            <v>51250</v>
          </cell>
          <cell r="B129">
            <v>51250</v>
          </cell>
          <cell r="C129">
            <v>0</v>
          </cell>
          <cell r="D129">
            <v>0</v>
          </cell>
          <cell r="E129" t="e">
            <v>#REF!</v>
          </cell>
          <cell r="F129" t="e">
            <v>#REF!</v>
          </cell>
        </row>
        <row r="130">
          <cell r="A130">
            <v>51810</v>
          </cell>
          <cell r="B130">
            <v>51810</v>
          </cell>
          <cell r="C130">
            <v>0</v>
          </cell>
          <cell r="D130">
            <v>0</v>
          </cell>
          <cell r="E130" t="e">
            <v>#REF!</v>
          </cell>
          <cell r="F130" t="e">
            <v>#REF!</v>
          </cell>
        </row>
        <row r="131">
          <cell r="A131">
            <v>51820</v>
          </cell>
          <cell r="B131">
            <v>51820</v>
          </cell>
          <cell r="C131">
            <v>0</v>
          </cell>
          <cell r="D131">
            <v>0</v>
          </cell>
          <cell r="E131" t="e">
            <v>#REF!</v>
          </cell>
          <cell r="F131" t="e">
            <v>#REF!</v>
          </cell>
        </row>
        <row r="132">
          <cell r="A132">
            <v>51840</v>
          </cell>
          <cell r="B132">
            <v>51840</v>
          </cell>
          <cell r="C132">
            <v>0</v>
          </cell>
          <cell r="D132">
            <v>0</v>
          </cell>
          <cell r="E132" t="e">
            <v>#REF!</v>
          </cell>
          <cell r="F132" t="e">
            <v>#REF!</v>
          </cell>
        </row>
        <row r="133">
          <cell r="A133" t="str">
            <v>47200_30400</v>
          </cell>
          <cell r="B133" t="str">
            <v>47200_30400</v>
          </cell>
          <cell r="C133">
            <v>230438996</v>
          </cell>
          <cell r="D133">
            <v>230438996</v>
          </cell>
          <cell r="E133" t="e">
            <v>#REF!</v>
          </cell>
          <cell r="F133" t="e">
            <v>#REF!</v>
          </cell>
        </row>
        <row r="134">
          <cell r="A134">
            <v>55120</v>
          </cell>
          <cell r="B134">
            <v>55120</v>
          </cell>
          <cell r="C134">
            <v>0</v>
          </cell>
          <cell r="D134">
            <v>0</v>
          </cell>
          <cell r="E134" t="e">
            <v>#REF!</v>
          </cell>
          <cell r="F134" t="e">
            <v>#REF!</v>
          </cell>
        </row>
      </sheetData>
      <sheetData sheetId="9"/>
      <sheetData sheetId="10"/>
      <sheetData sheetId="11"/>
      <sheetData sheetId="12"/>
      <sheetData sheetId="13"/>
      <sheetData sheetId="14"/>
      <sheetData sheetId="15" refreshError="1"/>
      <sheetData sheetId="16">
        <row r="4">
          <cell r="G4" t="str">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definedNames>
      <definedName name="HsSetValue"/>
    </defined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C Investments - Load E182`Tab"/>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o.georgia.gov/year-end-training-videos" TargetMode="External"/><Relationship Id="rId7" Type="http://schemas.openxmlformats.org/officeDocument/2006/relationships/vmlDrawing" Target="../drawings/vmlDrawing2.vml"/><Relationship Id="rId2" Type="http://schemas.openxmlformats.org/officeDocument/2006/relationships/hyperlink" Target="http://www.cviog.uga.edu/endofyear" TargetMode="External"/><Relationship Id="rId1" Type="http://schemas.openxmlformats.org/officeDocument/2006/relationships/hyperlink" Target="mailto:imani.devaughn@sao.ga.gov"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s://sao.georgia.gov/swar/year-end-form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D46FA-047F-4610-8E07-CBE1F8432422}">
  <sheetPr>
    <tabColor theme="5" tint="0.39997558519241921"/>
  </sheetPr>
  <dimension ref="A1:B13"/>
  <sheetViews>
    <sheetView workbookViewId="0">
      <selection activeCell="F16" sqref="F16:F17"/>
    </sheetView>
  </sheetViews>
  <sheetFormatPr defaultRowHeight="13.2" x14ac:dyDescent="0.25"/>
  <cols>
    <col min="1" max="1" width="16.21875" customWidth="1"/>
    <col min="2" max="2" width="15.5546875" customWidth="1"/>
  </cols>
  <sheetData>
    <row r="1" spans="1:2" x14ac:dyDescent="0.25">
      <c r="A1" s="425" t="s">
        <v>161</v>
      </c>
      <c r="B1" s="430">
        <f>'Investment Analysis'!E3</f>
        <v>0</v>
      </c>
    </row>
    <row r="2" spans="1:2" x14ac:dyDescent="0.25">
      <c r="A2" s="425" t="s">
        <v>162</v>
      </c>
      <c r="B2" s="426">
        <v>12</v>
      </c>
    </row>
    <row r="3" spans="1:2" x14ac:dyDescent="0.25">
      <c r="A3" s="427" t="s">
        <v>163</v>
      </c>
      <c r="B3" s="428">
        <v>2025</v>
      </c>
    </row>
    <row r="4" spans="1:2" x14ac:dyDescent="0.25">
      <c r="A4" s="425" t="s">
        <v>898</v>
      </c>
      <c r="B4" s="426" t="s">
        <v>899</v>
      </c>
    </row>
    <row r="5" spans="1:2" x14ac:dyDescent="0.25">
      <c r="A5" s="425" t="s">
        <v>898</v>
      </c>
      <c r="B5" s="426" t="s">
        <v>900</v>
      </c>
    </row>
    <row r="6" spans="1:2" x14ac:dyDescent="0.25">
      <c r="A6" s="425" t="s">
        <v>898</v>
      </c>
      <c r="B6" s="426" t="s">
        <v>901</v>
      </c>
    </row>
    <row r="7" spans="1:2" x14ac:dyDescent="0.25">
      <c r="A7" s="425" t="s">
        <v>902</v>
      </c>
      <c r="B7" s="426" t="s">
        <v>903</v>
      </c>
    </row>
    <row r="8" spans="1:2" x14ac:dyDescent="0.25">
      <c r="A8" s="425" t="s">
        <v>164</v>
      </c>
      <c r="B8" s="426" t="s">
        <v>904</v>
      </c>
    </row>
    <row r="9" spans="1:2" x14ac:dyDescent="0.25">
      <c r="A9" s="425" t="s">
        <v>165</v>
      </c>
      <c r="B9" s="426" t="s">
        <v>905</v>
      </c>
    </row>
    <row r="10" spans="1:2" x14ac:dyDescent="0.25">
      <c r="A10" s="425" t="s">
        <v>166</v>
      </c>
      <c r="B10" s="426" t="s">
        <v>906</v>
      </c>
    </row>
    <row r="11" spans="1:2" x14ac:dyDescent="0.25">
      <c r="A11" s="425" t="s">
        <v>167</v>
      </c>
      <c r="B11" s="426" t="s">
        <v>907</v>
      </c>
    </row>
    <row r="12" spans="1:2" x14ac:dyDescent="0.25">
      <c r="A12" s="425" t="s">
        <v>168</v>
      </c>
      <c r="B12" s="426" t="s">
        <v>169</v>
      </c>
    </row>
    <row r="13" spans="1:2" x14ac:dyDescent="0.25">
      <c r="A13" s="425" t="s">
        <v>170</v>
      </c>
      <c r="B13" s="426" t="s">
        <v>908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F573E-5E8C-4B03-8CFD-7475D948A168}">
  <sheetPr>
    <tabColor rgb="FFFFCCFF"/>
  </sheetPr>
  <dimension ref="B1:T1069"/>
  <sheetViews>
    <sheetView zoomScaleNormal="100" workbookViewId="0">
      <selection activeCell="I12" sqref="I12"/>
    </sheetView>
  </sheetViews>
  <sheetFormatPr defaultColWidth="8.5546875" defaultRowHeight="14.4" outlineLevelRow="1" outlineLevelCol="1" x14ac:dyDescent="0.3"/>
  <cols>
    <col min="1" max="1" width="5.21875" style="203" customWidth="1"/>
    <col min="2" max="2" width="14.21875" style="203" customWidth="1"/>
    <col min="3" max="3" width="35.44140625" style="203" customWidth="1"/>
    <col min="4" max="5" width="15.44140625" style="203" bestFit="1" customWidth="1"/>
    <col min="6" max="6" width="30.5546875" style="203" customWidth="1"/>
    <col min="7" max="7" width="52.5546875" style="203" customWidth="1" outlineLevel="1"/>
    <col min="8" max="8" width="12.77734375" style="213" bestFit="1" customWidth="1" outlineLevel="1"/>
    <col min="9" max="9" width="11.5546875" style="213" customWidth="1" outlineLevel="1"/>
    <col min="10" max="10" width="9.44140625" style="203" customWidth="1" outlineLevel="1"/>
    <col min="11" max="11" width="19.5546875" style="203" customWidth="1" outlineLevel="1"/>
    <col min="12" max="12" width="22" style="203" bestFit="1" customWidth="1" outlineLevel="1"/>
    <col min="13" max="14" width="11.5546875" style="203" bestFit="1" customWidth="1" outlineLevel="1"/>
    <col min="15" max="15" width="23.77734375" style="203" bestFit="1" customWidth="1" outlineLevel="1"/>
    <col min="16" max="16" width="34" style="203" customWidth="1" outlineLevel="1"/>
    <col min="17" max="17" width="26.5546875" style="203" customWidth="1" outlineLevel="1"/>
    <col min="18" max="18" width="12.44140625" style="203" customWidth="1"/>
    <col min="19" max="19" width="15.44140625" style="203" bestFit="1" customWidth="1"/>
    <col min="20" max="20" width="26.5546875" style="203" customWidth="1" outlineLevel="1"/>
    <col min="21" max="16384" width="8.5546875" style="203"/>
  </cols>
  <sheetData>
    <row r="1" spans="2:20" ht="15" thickBot="1" x14ac:dyDescent="0.35">
      <c r="B1" s="201" t="s">
        <v>212</v>
      </c>
      <c r="C1" s="186" t="s">
        <v>553</v>
      </c>
      <c r="D1" s="387" t="s">
        <v>852</v>
      </c>
      <c r="E1" s="387" t="s">
        <v>214</v>
      </c>
      <c r="F1" s="202" t="s">
        <v>853</v>
      </c>
      <c r="G1" s="202" t="s">
        <v>856</v>
      </c>
      <c r="H1" s="385" t="s">
        <v>161</v>
      </c>
      <c r="I1" s="381" t="s">
        <v>162</v>
      </c>
      <c r="J1" s="381" t="s">
        <v>163</v>
      </c>
      <c r="K1" s="382" t="s">
        <v>839</v>
      </c>
      <c r="L1" s="381" t="s">
        <v>851</v>
      </c>
      <c r="M1" s="381" t="s">
        <v>845</v>
      </c>
      <c r="N1" s="381" t="s">
        <v>165</v>
      </c>
      <c r="O1" s="381" t="s">
        <v>166</v>
      </c>
      <c r="P1" s="381" t="s">
        <v>167</v>
      </c>
      <c r="Q1" s="405" t="s">
        <v>841</v>
      </c>
      <c r="R1" s="383" t="s">
        <v>168</v>
      </c>
      <c r="S1" s="381" t="s">
        <v>170</v>
      </c>
      <c r="T1" s="381" t="s">
        <v>842</v>
      </c>
    </row>
    <row r="2" spans="2:20" ht="15" thickBot="1" x14ac:dyDescent="0.35">
      <c r="B2" s="373" t="s">
        <v>975</v>
      </c>
      <c r="C2" s="374" t="s">
        <v>418</v>
      </c>
      <c r="D2" s="375" t="str">
        <f>[2]!HsSetValue(E2,"FCC","Scenario#"&amp;R2&amp;";Years#"&amp;J2&amp;";Period#"&amp;I2&amp;";View#"&amp;S2&amp;";Entity#"&amp;H2&amp;";Data Source#"&amp;K2&amp;";Account#"&amp;F2&amp;";Intercompany#"&amp;L2&amp;";Movement#"&amp;Q2&amp;";Consolidation#"&amp;T2&amp;";Custom1#"&amp;M2&amp;";Custom2#"&amp;N2&amp;";Custom3#"&amp;O2&amp;";Custom4#"&amp;P2&amp;"")</f>
        <v>#Invalid Syntax</v>
      </c>
      <c r="E2" s="375">
        <f>SUMIF('Investment Analysis'!$E$22:$E$69,'FCC Investments - Load Tab'!C2,'Investment Analysis'!$H$22:$H$69)</f>
        <v>0</v>
      </c>
      <c r="F2" s="376" t="s">
        <v>585</v>
      </c>
      <c r="G2" s="374" t="s">
        <v>976</v>
      </c>
      <c r="H2" s="377" t="e">
        <f>VLOOKUP('Investment Analysis'!$E$3,'Entity List 6.24.2026'!$A:$C,3,FALSE)</f>
        <v>#N/A</v>
      </c>
      <c r="I2" s="384" t="s">
        <v>973</v>
      </c>
      <c r="J2" s="376" t="s">
        <v>1118</v>
      </c>
      <c r="K2" s="376" t="s">
        <v>843</v>
      </c>
      <c r="L2" s="376" t="s">
        <v>844</v>
      </c>
      <c r="M2" s="376" t="s">
        <v>845</v>
      </c>
      <c r="N2" s="376" t="s">
        <v>846</v>
      </c>
      <c r="O2" s="376" t="s">
        <v>586</v>
      </c>
      <c r="P2" s="376" t="s">
        <v>555</v>
      </c>
      <c r="Q2" s="376" t="s">
        <v>974</v>
      </c>
      <c r="R2" s="376" t="s">
        <v>169</v>
      </c>
      <c r="S2" s="376" t="s">
        <v>848</v>
      </c>
      <c r="T2" s="376" t="s">
        <v>850</v>
      </c>
    </row>
    <row r="3" spans="2:20" x14ac:dyDescent="0.3">
      <c r="B3" s="373" t="s">
        <v>975</v>
      </c>
      <c r="C3" s="374" t="s">
        <v>419</v>
      </c>
      <c r="D3" s="375" t="str">
        <f>[2]!HsSetValue(E3,"FCC","Scenario#"&amp;R3&amp;";Years#"&amp;J3&amp;";Period#"&amp;I3&amp;";View#"&amp;S3&amp;";Entity#"&amp;H3&amp;";Data Source#"&amp;K3&amp;";Account#"&amp;F3&amp;";Intercompany#"&amp;L3&amp;";Movement#"&amp;Q3&amp;";Consolidation#"&amp;T3&amp;";Custom1#"&amp;M3&amp;";Custom2#"&amp;N3&amp;";Custom3#"&amp;O3&amp;";Custom4#"&amp;P3&amp;"")</f>
        <v>#Invalid Syntax</v>
      </c>
      <c r="E3" s="375">
        <f>SUMIF('Investment Analysis'!$E$22:$E$69,'FCC Investments - Load Tab'!C3,'Investment Analysis'!$H$22:$H$69)</f>
        <v>0</v>
      </c>
      <c r="F3" s="376" t="s">
        <v>585</v>
      </c>
      <c r="G3" s="374" t="s">
        <v>977</v>
      </c>
      <c r="H3" s="378" t="e">
        <f t="shared" ref="H3:L30" si="0">+H$2</f>
        <v>#N/A</v>
      </c>
      <c r="I3" s="378" t="str">
        <f t="shared" si="0"/>
        <v>Jun</v>
      </c>
      <c r="J3" s="376" t="str">
        <f t="shared" si="0"/>
        <v>FY25</v>
      </c>
      <c r="K3" s="376" t="str">
        <f t="shared" si="0"/>
        <v>FCCS_Other Data</v>
      </c>
      <c r="L3" s="376" t="str">
        <f t="shared" si="0"/>
        <v>FCCS_No Intercompany</v>
      </c>
      <c r="M3" s="376" t="s">
        <v>845</v>
      </c>
      <c r="N3" s="376" t="s">
        <v>846</v>
      </c>
      <c r="O3" s="376" t="str">
        <f t="shared" ref="O3:O39" si="1">+O$2</f>
        <v>FMV</v>
      </c>
      <c r="P3" s="376" t="s">
        <v>563</v>
      </c>
      <c r="Q3" s="376" t="str">
        <f>Q$2</f>
        <v>FCCS_ClosingBalance_Input</v>
      </c>
      <c r="R3" s="376" t="str">
        <f t="shared" ref="R3:S10" si="2">+R$2</f>
        <v>Actual</v>
      </c>
      <c r="S3" s="376" t="str">
        <f t="shared" si="2"/>
        <v>FCCS_YTD_Input</v>
      </c>
      <c r="T3" s="376" t="s">
        <v>850</v>
      </c>
    </row>
    <row r="4" spans="2:20" x14ac:dyDescent="0.3">
      <c r="B4" s="373" t="s">
        <v>975</v>
      </c>
      <c r="C4" s="374" t="s">
        <v>405</v>
      </c>
      <c r="D4" s="375" t="str">
        <f>[2]!HsSetValue(E4,"FCC","Scenario#"&amp;R4&amp;";Years#"&amp;J4&amp;";Period#"&amp;I4&amp;";View#"&amp;S4&amp;";Entity#"&amp;H4&amp;";Data Source#"&amp;K4&amp;";Account#"&amp;F4&amp;";Intercompany#"&amp;L4&amp;";Movement#"&amp;Q4&amp;";Consolidation#"&amp;T4&amp;";Custom1#"&amp;M4&amp;";Custom2#"&amp;N4&amp;";Custom3#"&amp;O4&amp;";Custom4#"&amp;P4&amp;"")</f>
        <v>#Invalid Syntax</v>
      </c>
      <c r="E4" s="375">
        <f>SUMIF('Investment Analysis'!$E$22:$E$69,'FCC Investments - Load Tab'!C4,'Investment Analysis'!$H$22:$H$69)</f>
        <v>0</v>
      </c>
      <c r="F4" s="376" t="s">
        <v>585</v>
      </c>
      <c r="G4" s="374" t="s">
        <v>978</v>
      </c>
      <c r="H4" s="378" t="e">
        <f t="shared" si="0"/>
        <v>#N/A</v>
      </c>
      <c r="I4" s="378" t="str">
        <f>+I$2</f>
        <v>Jun</v>
      </c>
      <c r="J4" s="376" t="str">
        <f t="shared" si="0"/>
        <v>FY25</v>
      </c>
      <c r="K4" s="376" t="str">
        <f t="shared" si="0"/>
        <v>FCCS_Other Data</v>
      </c>
      <c r="L4" s="376" t="str">
        <f t="shared" si="0"/>
        <v>FCCS_No Intercompany</v>
      </c>
      <c r="M4" s="376" t="s">
        <v>845</v>
      </c>
      <c r="N4" s="376" t="s">
        <v>846</v>
      </c>
      <c r="O4" s="376" t="str">
        <f t="shared" si="1"/>
        <v>FMV</v>
      </c>
      <c r="P4" s="376" t="s">
        <v>564</v>
      </c>
      <c r="Q4" s="376" t="str">
        <f t="shared" ref="Q4:Q78" si="3">Q$2</f>
        <v>FCCS_ClosingBalance_Input</v>
      </c>
      <c r="R4" s="376" t="str">
        <f t="shared" si="2"/>
        <v>Actual</v>
      </c>
      <c r="S4" s="376" t="str">
        <f t="shared" si="2"/>
        <v>FCCS_YTD_Input</v>
      </c>
      <c r="T4" s="376" t="s">
        <v>850</v>
      </c>
    </row>
    <row r="5" spans="2:20" x14ac:dyDescent="0.3">
      <c r="B5" s="373" t="s">
        <v>975</v>
      </c>
      <c r="C5" s="374" t="s">
        <v>869</v>
      </c>
      <c r="D5" s="375" t="str">
        <f>[2]!HsSetValue(E5,"FCC","Scenario#"&amp;R5&amp;";Years#"&amp;J5&amp;";Period#"&amp;I5&amp;";View#"&amp;S5&amp;";Entity#"&amp;H5&amp;";Data Source#"&amp;K5&amp;";Account#"&amp;F5&amp;";Intercompany#"&amp;L5&amp;";Movement#"&amp;Q5&amp;";Consolidation#"&amp;T5&amp;";Custom1#"&amp;M5&amp;";Custom2#"&amp;N5&amp;";Custom3#"&amp;O5&amp;";Custom4#"&amp;P5&amp;"")</f>
        <v>#Invalid Syntax</v>
      </c>
      <c r="E5" s="375">
        <f>SUMIF('Investment Analysis'!$E$22:$E$69,'FCC Investments - Load Tab'!C5,'Investment Analysis'!$H$22:$H$69)</f>
        <v>0</v>
      </c>
      <c r="F5" s="376" t="s">
        <v>585</v>
      </c>
      <c r="G5" s="374" t="s">
        <v>979</v>
      </c>
      <c r="H5" s="378" t="e">
        <f t="shared" si="0"/>
        <v>#N/A</v>
      </c>
      <c r="I5" s="378" t="str">
        <f>+I$2</f>
        <v>Jun</v>
      </c>
      <c r="J5" s="376" t="str">
        <f t="shared" si="0"/>
        <v>FY25</v>
      </c>
      <c r="K5" s="376" t="str">
        <f t="shared" si="0"/>
        <v>FCCS_Other Data</v>
      </c>
      <c r="L5" s="376" t="str">
        <f t="shared" si="0"/>
        <v>FCCS_No Intercompany</v>
      </c>
      <c r="M5" s="376" t="s">
        <v>845</v>
      </c>
      <c r="N5" s="376" t="s">
        <v>846</v>
      </c>
      <c r="O5" s="376" t="str">
        <f t="shared" si="1"/>
        <v>FMV</v>
      </c>
      <c r="P5" s="376" t="s">
        <v>873</v>
      </c>
      <c r="Q5" s="376" t="str">
        <f t="shared" si="3"/>
        <v>FCCS_ClosingBalance_Input</v>
      </c>
      <c r="R5" s="376" t="str">
        <f t="shared" si="2"/>
        <v>Actual</v>
      </c>
      <c r="S5" s="376" t="str">
        <f t="shared" si="2"/>
        <v>FCCS_YTD_Input</v>
      </c>
      <c r="T5" s="376" t="s">
        <v>850</v>
      </c>
    </row>
    <row r="6" spans="2:20" x14ac:dyDescent="0.3">
      <c r="B6" s="373" t="s">
        <v>975</v>
      </c>
      <c r="C6" s="374" t="s">
        <v>464</v>
      </c>
      <c r="D6" s="375" t="str">
        <f>[2]!HsSetValue(E6,"FCC","Scenario#"&amp;R6&amp;";Years#"&amp;J6&amp;";Period#"&amp;I6&amp;";View#"&amp;S6&amp;";Entity#"&amp;H6&amp;";Data Source#"&amp;K6&amp;";Account#"&amp;F6&amp;";Intercompany#"&amp;L6&amp;";Movement#"&amp;Q6&amp;";Consolidation#"&amp;T6&amp;";Custom1#"&amp;M6&amp;";Custom2#"&amp;N6&amp;";Custom3#"&amp;O6&amp;";Custom4#"&amp;P6&amp;"")</f>
        <v>#Invalid Syntax</v>
      </c>
      <c r="E6" s="375">
        <f>SUMIF('Investment Analysis'!$E$22:$E$69,'FCC Investments - Load Tab'!C6,'Investment Analysis'!$H$22:$H$69)</f>
        <v>0</v>
      </c>
      <c r="F6" s="376" t="s">
        <v>585</v>
      </c>
      <c r="G6" s="374" t="s">
        <v>980</v>
      </c>
      <c r="H6" s="378" t="e">
        <f t="shared" si="0"/>
        <v>#N/A</v>
      </c>
      <c r="I6" s="378" t="str">
        <f t="shared" si="0"/>
        <v>Jun</v>
      </c>
      <c r="J6" s="376" t="str">
        <f t="shared" si="0"/>
        <v>FY25</v>
      </c>
      <c r="K6" s="376" t="str">
        <f t="shared" si="0"/>
        <v>FCCS_Other Data</v>
      </c>
      <c r="L6" s="376" t="str">
        <f t="shared" si="0"/>
        <v>FCCS_No Intercompany</v>
      </c>
      <c r="M6" s="376" t="s">
        <v>845</v>
      </c>
      <c r="N6" s="376" t="s">
        <v>846</v>
      </c>
      <c r="O6" s="376" t="str">
        <f t="shared" si="1"/>
        <v>FMV</v>
      </c>
      <c r="P6" s="376" t="s">
        <v>565</v>
      </c>
      <c r="Q6" s="376" t="str">
        <f t="shared" si="3"/>
        <v>FCCS_ClosingBalance_Input</v>
      </c>
      <c r="R6" s="376" t="str">
        <f t="shared" si="2"/>
        <v>Actual</v>
      </c>
      <c r="S6" s="376" t="str">
        <f t="shared" si="2"/>
        <v>FCCS_YTD_Input</v>
      </c>
      <c r="T6" s="376" t="s">
        <v>850</v>
      </c>
    </row>
    <row r="7" spans="2:20" x14ac:dyDescent="0.3">
      <c r="B7" s="373" t="s">
        <v>975</v>
      </c>
      <c r="C7" s="374" t="s">
        <v>954</v>
      </c>
      <c r="D7" s="375" t="str">
        <f>[2]!HsSetValue(E7,"FCC","Scenario#"&amp;R7&amp;";Years#"&amp;J7&amp;";Period#"&amp;I7&amp;";View#"&amp;S7&amp;";Entity#"&amp;H7&amp;";Data Source#"&amp;K7&amp;";Account#"&amp;F7&amp;";Intercompany#"&amp;L7&amp;";Movement#"&amp;Q7&amp;";Consolidation#"&amp;T7&amp;";Custom1#"&amp;M7&amp;";Custom2#"&amp;N7&amp;";Custom3#"&amp;O7&amp;";Custom4#"&amp;P7&amp;"")</f>
        <v>#Invalid Syntax</v>
      </c>
      <c r="E7" s="375">
        <f>SUMIF('Investment Analysis'!$E$22:$E$69,'FCC Investments - Load Tab'!C7,'Investment Analysis'!$H$22:$H$69)</f>
        <v>0</v>
      </c>
      <c r="F7" s="376" t="s">
        <v>585</v>
      </c>
      <c r="G7" s="374" t="s">
        <v>981</v>
      </c>
      <c r="H7" s="378" t="e">
        <f t="shared" si="0"/>
        <v>#N/A</v>
      </c>
      <c r="I7" s="378" t="str">
        <f t="shared" si="0"/>
        <v>Jun</v>
      </c>
      <c r="J7" s="376" t="str">
        <f t="shared" si="0"/>
        <v>FY25</v>
      </c>
      <c r="K7" s="376" t="str">
        <f t="shared" si="0"/>
        <v>FCCS_Other Data</v>
      </c>
      <c r="L7" s="376" t="str">
        <f t="shared" si="0"/>
        <v>FCCS_No Intercompany</v>
      </c>
      <c r="M7" s="376" t="s">
        <v>845</v>
      </c>
      <c r="N7" s="376" t="s">
        <v>846</v>
      </c>
      <c r="O7" s="376" t="str">
        <f t="shared" si="1"/>
        <v>FMV</v>
      </c>
      <c r="P7" s="376" t="s">
        <v>874</v>
      </c>
      <c r="Q7" s="376" t="str">
        <f t="shared" si="3"/>
        <v>FCCS_ClosingBalance_Input</v>
      </c>
      <c r="R7" s="376" t="str">
        <f t="shared" si="2"/>
        <v>Actual</v>
      </c>
      <c r="S7" s="376" t="str">
        <f t="shared" si="2"/>
        <v>FCCS_YTD_Input</v>
      </c>
      <c r="T7" s="376" t="s">
        <v>850</v>
      </c>
    </row>
    <row r="8" spans="2:20" x14ac:dyDescent="0.3">
      <c r="B8" s="373" t="s">
        <v>975</v>
      </c>
      <c r="C8" s="374" t="s">
        <v>420</v>
      </c>
      <c r="D8" s="375" t="str">
        <f>[2]!HsSetValue(E8,"FCC","Scenario#"&amp;R8&amp;";Years#"&amp;J8&amp;";Period#"&amp;I8&amp;";View#"&amp;S8&amp;";Entity#"&amp;H8&amp;";Data Source#"&amp;K8&amp;";Account#"&amp;F8&amp;";Intercompany#"&amp;L8&amp;";Movement#"&amp;Q8&amp;";Consolidation#"&amp;T8&amp;";Custom1#"&amp;M8&amp;";Custom2#"&amp;N8&amp;";Custom3#"&amp;O8&amp;";Custom4#"&amp;P8&amp;"")</f>
        <v>#Invalid Syntax</v>
      </c>
      <c r="E8" s="375">
        <f>SUMIF('Investment Analysis'!$E$22:$E$69,'FCC Investments - Load Tab'!C8,'Investment Analysis'!$H$22:$H$69)</f>
        <v>0</v>
      </c>
      <c r="F8" s="376" t="s">
        <v>585</v>
      </c>
      <c r="G8" s="374" t="s">
        <v>982</v>
      </c>
      <c r="H8" s="378" t="e">
        <f t="shared" si="0"/>
        <v>#N/A</v>
      </c>
      <c r="I8" s="378" t="str">
        <f t="shared" si="0"/>
        <v>Jun</v>
      </c>
      <c r="J8" s="376" t="str">
        <f t="shared" si="0"/>
        <v>FY25</v>
      </c>
      <c r="K8" s="376" t="str">
        <f t="shared" si="0"/>
        <v>FCCS_Other Data</v>
      </c>
      <c r="L8" s="376" t="str">
        <f t="shared" si="0"/>
        <v>FCCS_No Intercompany</v>
      </c>
      <c r="M8" s="376" t="s">
        <v>845</v>
      </c>
      <c r="N8" s="376" t="s">
        <v>846</v>
      </c>
      <c r="O8" s="376" t="str">
        <f t="shared" si="1"/>
        <v>FMV</v>
      </c>
      <c r="P8" s="376" t="s">
        <v>566</v>
      </c>
      <c r="Q8" s="376" t="str">
        <f t="shared" si="3"/>
        <v>FCCS_ClosingBalance_Input</v>
      </c>
      <c r="R8" s="376" t="str">
        <f t="shared" si="2"/>
        <v>Actual</v>
      </c>
      <c r="S8" s="376" t="str">
        <f t="shared" si="2"/>
        <v>FCCS_YTD_Input</v>
      </c>
      <c r="T8" s="376" t="s">
        <v>850</v>
      </c>
    </row>
    <row r="9" spans="2:20" x14ac:dyDescent="0.3">
      <c r="B9" s="373" t="s">
        <v>975</v>
      </c>
      <c r="C9" s="374" t="s">
        <v>421</v>
      </c>
      <c r="D9" s="375" t="str">
        <f>[2]!HsSetValue(E9,"FCC","Scenario#"&amp;R9&amp;";Years#"&amp;J9&amp;";Period#"&amp;I9&amp;";View#"&amp;S9&amp;";Entity#"&amp;H9&amp;";Data Source#"&amp;K9&amp;";Account#"&amp;F9&amp;";Intercompany#"&amp;L9&amp;";Movement#"&amp;Q9&amp;";Consolidation#"&amp;T9&amp;";Custom1#"&amp;M9&amp;";Custom2#"&amp;N9&amp;";Custom3#"&amp;O9&amp;";Custom4#"&amp;P9&amp;"")</f>
        <v>#Invalid Syntax</v>
      </c>
      <c r="E9" s="375">
        <f>SUMIF('Investment Analysis'!$E$22:$E$69,'FCC Investments - Load Tab'!C9,'Investment Analysis'!$H$22:$H$69)</f>
        <v>0</v>
      </c>
      <c r="F9" s="376" t="s">
        <v>585</v>
      </c>
      <c r="G9" s="374" t="s">
        <v>983</v>
      </c>
      <c r="H9" s="378" t="e">
        <f t="shared" si="0"/>
        <v>#N/A</v>
      </c>
      <c r="I9" s="378" t="str">
        <f t="shared" si="0"/>
        <v>Jun</v>
      </c>
      <c r="J9" s="376" t="str">
        <f t="shared" si="0"/>
        <v>FY25</v>
      </c>
      <c r="K9" s="376" t="str">
        <f t="shared" si="0"/>
        <v>FCCS_Other Data</v>
      </c>
      <c r="L9" s="376" t="str">
        <f t="shared" si="0"/>
        <v>FCCS_No Intercompany</v>
      </c>
      <c r="M9" s="376" t="s">
        <v>845</v>
      </c>
      <c r="N9" s="376" t="s">
        <v>846</v>
      </c>
      <c r="O9" s="376" t="str">
        <f t="shared" si="1"/>
        <v>FMV</v>
      </c>
      <c r="P9" s="376" t="s">
        <v>567</v>
      </c>
      <c r="Q9" s="376" t="str">
        <f t="shared" si="3"/>
        <v>FCCS_ClosingBalance_Input</v>
      </c>
      <c r="R9" s="376" t="str">
        <f t="shared" si="2"/>
        <v>Actual</v>
      </c>
      <c r="S9" s="376" t="str">
        <f t="shared" si="2"/>
        <v>FCCS_YTD_Input</v>
      </c>
      <c r="T9" s="376" t="s">
        <v>850</v>
      </c>
    </row>
    <row r="10" spans="2:20" x14ac:dyDescent="0.3">
      <c r="B10" s="373" t="s">
        <v>975</v>
      </c>
      <c r="C10" s="374" t="s">
        <v>422</v>
      </c>
      <c r="D10" s="375" t="str">
        <f>[2]!HsSetValue(E10,"FCC","Scenario#"&amp;R10&amp;";Years#"&amp;J10&amp;";Period#"&amp;I10&amp;";View#"&amp;S10&amp;";Entity#"&amp;H10&amp;";Data Source#"&amp;K10&amp;";Account#"&amp;F10&amp;";Intercompany#"&amp;L10&amp;";Movement#"&amp;Q10&amp;";Consolidation#"&amp;T10&amp;";Custom1#"&amp;M10&amp;";Custom2#"&amp;N10&amp;";Custom3#"&amp;O10&amp;";Custom4#"&amp;P10&amp;"")</f>
        <v>#Invalid Syntax</v>
      </c>
      <c r="E10" s="375">
        <f>SUMIF('Investment Analysis'!$E$22:$E$69,'FCC Investments - Load Tab'!C10,'Investment Analysis'!$H$22:$H$69)</f>
        <v>0</v>
      </c>
      <c r="F10" s="376" t="s">
        <v>585</v>
      </c>
      <c r="G10" s="374" t="s">
        <v>984</v>
      </c>
      <c r="H10" s="378" t="e">
        <f t="shared" si="0"/>
        <v>#N/A</v>
      </c>
      <c r="I10" s="378" t="str">
        <f t="shared" si="0"/>
        <v>Jun</v>
      </c>
      <c r="J10" s="376" t="str">
        <f t="shared" si="0"/>
        <v>FY25</v>
      </c>
      <c r="K10" s="376" t="str">
        <f t="shared" si="0"/>
        <v>FCCS_Other Data</v>
      </c>
      <c r="L10" s="376" t="str">
        <f t="shared" si="0"/>
        <v>FCCS_No Intercompany</v>
      </c>
      <c r="M10" s="376" t="s">
        <v>845</v>
      </c>
      <c r="N10" s="376" t="s">
        <v>846</v>
      </c>
      <c r="O10" s="376" t="str">
        <f t="shared" si="1"/>
        <v>FMV</v>
      </c>
      <c r="P10" s="376" t="s">
        <v>568</v>
      </c>
      <c r="Q10" s="376" t="str">
        <f t="shared" si="3"/>
        <v>FCCS_ClosingBalance_Input</v>
      </c>
      <c r="R10" s="376" t="str">
        <f t="shared" si="2"/>
        <v>Actual</v>
      </c>
      <c r="S10" s="376" t="str">
        <f t="shared" si="2"/>
        <v>FCCS_YTD_Input</v>
      </c>
      <c r="T10" s="376" t="s">
        <v>850</v>
      </c>
    </row>
    <row r="11" spans="2:20" x14ac:dyDescent="0.3">
      <c r="B11" s="373" t="s">
        <v>975</v>
      </c>
      <c r="C11" s="374" t="s">
        <v>423</v>
      </c>
      <c r="D11" s="375" t="str">
        <f>[2]!HsSetValue(E11,"FCC","Scenario#"&amp;R11&amp;";Years#"&amp;J11&amp;";Period#"&amp;I11&amp;";View#"&amp;S11&amp;";Entity#"&amp;H11&amp;";Data Source#"&amp;K11&amp;";Account#"&amp;F11&amp;";Intercompany#"&amp;L11&amp;";Movement#"&amp;Q11&amp;";Consolidation#"&amp;T11&amp;";Custom1#"&amp;M11&amp;";Custom2#"&amp;N11&amp;";Custom3#"&amp;O11&amp;";Custom4#"&amp;P11&amp;"")</f>
        <v>#Invalid Syntax</v>
      </c>
      <c r="E11" s="375">
        <f>SUMIF('Investment Analysis'!$E$22:$E$69,'FCC Investments - Load Tab'!C11,'Investment Analysis'!$H$22:$H$69)</f>
        <v>0</v>
      </c>
      <c r="F11" s="376" t="s">
        <v>585</v>
      </c>
      <c r="G11" s="374" t="s">
        <v>985</v>
      </c>
      <c r="H11" s="378" t="e">
        <f t="shared" si="0"/>
        <v>#N/A</v>
      </c>
      <c r="I11" s="378" t="str">
        <f t="shared" si="0"/>
        <v>Jun</v>
      </c>
      <c r="J11" s="376" t="str">
        <f>+J$2</f>
        <v>FY25</v>
      </c>
      <c r="K11" s="376" t="s">
        <v>843</v>
      </c>
      <c r="L11" s="376" t="s">
        <v>844</v>
      </c>
      <c r="M11" s="376" t="s">
        <v>845</v>
      </c>
      <c r="N11" s="376" t="s">
        <v>846</v>
      </c>
      <c r="O11" s="376" t="str">
        <f t="shared" si="1"/>
        <v>FMV</v>
      </c>
      <c r="P11" s="376" t="s">
        <v>569</v>
      </c>
      <c r="Q11" s="376" t="str">
        <f t="shared" si="3"/>
        <v>FCCS_ClosingBalance_Input</v>
      </c>
      <c r="R11" s="376" t="s">
        <v>169</v>
      </c>
      <c r="S11" s="376" t="s">
        <v>848</v>
      </c>
      <c r="T11" s="376" t="s">
        <v>850</v>
      </c>
    </row>
    <row r="12" spans="2:20" x14ac:dyDescent="0.3">
      <c r="B12" s="373" t="s">
        <v>975</v>
      </c>
      <c r="C12" s="374" t="s">
        <v>465</v>
      </c>
      <c r="D12" s="375" t="str">
        <f>[2]!HsSetValue(E12,"FCC","Scenario#"&amp;R12&amp;";Years#"&amp;J12&amp;";Period#"&amp;I12&amp;";View#"&amp;S12&amp;";Entity#"&amp;H12&amp;";Data Source#"&amp;K12&amp;";Account#"&amp;F12&amp;";Intercompany#"&amp;L12&amp;";Movement#"&amp;Q12&amp;";Consolidation#"&amp;T12&amp;";Custom1#"&amp;M12&amp;";Custom2#"&amp;N12&amp;";Custom3#"&amp;O12&amp;";Custom4#"&amp;P12&amp;"")</f>
        <v>#Invalid Syntax</v>
      </c>
      <c r="E12" s="375">
        <f>SUMIF('Investment Analysis'!$E$22:$E$69,'FCC Investments - Load Tab'!C12,'Investment Analysis'!$H$22:$H$69)</f>
        <v>0</v>
      </c>
      <c r="F12" s="376" t="s">
        <v>585</v>
      </c>
      <c r="G12" s="374" t="s">
        <v>986</v>
      </c>
      <c r="H12" s="378" t="e">
        <f t="shared" si="0"/>
        <v>#N/A</v>
      </c>
      <c r="I12" s="378" t="str">
        <f t="shared" si="0"/>
        <v>Jun</v>
      </c>
      <c r="J12" s="376" t="str">
        <f t="shared" si="0"/>
        <v>FY25</v>
      </c>
      <c r="K12" s="376" t="str">
        <f t="shared" si="0"/>
        <v>FCCS_Other Data</v>
      </c>
      <c r="L12" s="376" t="str">
        <f t="shared" si="0"/>
        <v>FCCS_No Intercompany</v>
      </c>
      <c r="M12" s="376" t="s">
        <v>845</v>
      </c>
      <c r="N12" s="376" t="s">
        <v>846</v>
      </c>
      <c r="O12" s="376" t="str">
        <f t="shared" si="1"/>
        <v>FMV</v>
      </c>
      <c r="P12" s="376" t="s">
        <v>570</v>
      </c>
      <c r="Q12" s="376" t="str">
        <f t="shared" si="3"/>
        <v>FCCS_ClosingBalance_Input</v>
      </c>
      <c r="R12" s="376" t="str">
        <f t="shared" ref="R12:S38" si="4">+R$2</f>
        <v>Actual</v>
      </c>
      <c r="S12" s="376" t="str">
        <f t="shared" si="4"/>
        <v>FCCS_YTD_Input</v>
      </c>
      <c r="T12" s="376" t="s">
        <v>850</v>
      </c>
    </row>
    <row r="13" spans="2:20" x14ac:dyDescent="0.3">
      <c r="B13" s="373" t="s">
        <v>975</v>
      </c>
      <c r="C13" s="374" t="s">
        <v>466</v>
      </c>
      <c r="D13" s="375" t="str">
        <f>[2]!HsSetValue(E13,"FCC","Scenario#"&amp;R13&amp;";Years#"&amp;J13&amp;";Period#"&amp;I13&amp;";View#"&amp;S13&amp;";Entity#"&amp;H13&amp;";Data Source#"&amp;K13&amp;";Account#"&amp;F13&amp;";Intercompany#"&amp;L13&amp;";Movement#"&amp;Q13&amp;";Consolidation#"&amp;T13&amp;";Custom1#"&amp;M13&amp;";Custom2#"&amp;N13&amp;";Custom3#"&amp;O13&amp;";Custom4#"&amp;P13&amp;"")</f>
        <v>#Invalid Syntax</v>
      </c>
      <c r="E13" s="375">
        <f>SUMIF('Investment Analysis'!$E$22:$E$69,'FCC Investments - Load Tab'!C13,'Investment Analysis'!$H$22:$H$69)</f>
        <v>0</v>
      </c>
      <c r="F13" s="376" t="s">
        <v>585</v>
      </c>
      <c r="G13" s="374" t="s">
        <v>987</v>
      </c>
      <c r="H13" s="378" t="e">
        <f t="shared" si="0"/>
        <v>#N/A</v>
      </c>
      <c r="I13" s="378" t="str">
        <f t="shared" si="0"/>
        <v>Jun</v>
      </c>
      <c r="J13" s="376" t="str">
        <f t="shared" si="0"/>
        <v>FY25</v>
      </c>
      <c r="K13" s="376" t="str">
        <f t="shared" si="0"/>
        <v>FCCS_Other Data</v>
      </c>
      <c r="L13" s="376" t="str">
        <f t="shared" si="0"/>
        <v>FCCS_No Intercompany</v>
      </c>
      <c r="M13" s="376" t="s">
        <v>845</v>
      </c>
      <c r="N13" s="376" t="s">
        <v>846</v>
      </c>
      <c r="O13" s="376" t="str">
        <f t="shared" si="1"/>
        <v>FMV</v>
      </c>
      <c r="P13" s="376" t="s">
        <v>571</v>
      </c>
      <c r="Q13" s="376" t="str">
        <f t="shared" si="3"/>
        <v>FCCS_ClosingBalance_Input</v>
      </c>
      <c r="R13" s="376" t="str">
        <f t="shared" si="4"/>
        <v>Actual</v>
      </c>
      <c r="S13" s="376" t="str">
        <f t="shared" si="4"/>
        <v>FCCS_YTD_Input</v>
      </c>
      <c r="T13" s="376" t="s">
        <v>850</v>
      </c>
    </row>
    <row r="14" spans="2:20" x14ac:dyDescent="0.3">
      <c r="B14" s="373" t="s">
        <v>975</v>
      </c>
      <c r="C14" s="374" t="s">
        <v>413</v>
      </c>
      <c r="D14" s="375" t="str">
        <f>[2]!HsSetValue(E14,"FCC","Scenario#"&amp;R14&amp;";Years#"&amp;J14&amp;";Period#"&amp;I14&amp;";View#"&amp;S14&amp;";Entity#"&amp;H14&amp;";Data Source#"&amp;K14&amp;";Account#"&amp;F14&amp;";Intercompany#"&amp;L14&amp;";Movement#"&amp;Q14&amp;";Consolidation#"&amp;T14&amp;";Custom1#"&amp;M14&amp;";Custom2#"&amp;N14&amp;";Custom3#"&amp;O14&amp;";Custom4#"&amp;P14&amp;"")</f>
        <v>#Invalid Syntax</v>
      </c>
      <c r="E14" s="375">
        <f>SUMIF('Investment Analysis'!$E$22:$E$69,'FCC Investments - Load Tab'!C14,'Investment Analysis'!$H$22:$H$69)</f>
        <v>0</v>
      </c>
      <c r="F14" s="376" t="s">
        <v>585</v>
      </c>
      <c r="G14" s="374" t="s">
        <v>988</v>
      </c>
      <c r="H14" s="378" t="e">
        <f t="shared" si="0"/>
        <v>#N/A</v>
      </c>
      <c r="I14" s="378" t="str">
        <f t="shared" si="0"/>
        <v>Jun</v>
      </c>
      <c r="J14" s="376" t="str">
        <f t="shared" si="0"/>
        <v>FY25</v>
      </c>
      <c r="K14" s="376" t="str">
        <f t="shared" si="0"/>
        <v>FCCS_Other Data</v>
      </c>
      <c r="L14" s="376" t="str">
        <f t="shared" si="0"/>
        <v>FCCS_No Intercompany</v>
      </c>
      <c r="M14" s="376" t="s">
        <v>845</v>
      </c>
      <c r="N14" s="376" t="s">
        <v>846</v>
      </c>
      <c r="O14" s="376" t="str">
        <f t="shared" si="1"/>
        <v>FMV</v>
      </c>
      <c r="P14" s="376" t="s">
        <v>572</v>
      </c>
      <c r="Q14" s="376" t="str">
        <f t="shared" si="3"/>
        <v>FCCS_ClosingBalance_Input</v>
      </c>
      <c r="R14" s="376" t="str">
        <f t="shared" si="4"/>
        <v>Actual</v>
      </c>
      <c r="S14" s="376" t="str">
        <f t="shared" si="4"/>
        <v>FCCS_YTD_Input</v>
      </c>
      <c r="T14" s="376" t="s">
        <v>850</v>
      </c>
    </row>
    <row r="15" spans="2:20" x14ac:dyDescent="0.3">
      <c r="B15" s="373" t="s">
        <v>975</v>
      </c>
      <c r="C15" s="374" t="s">
        <v>951</v>
      </c>
      <c r="D15" s="375" t="str">
        <f>[2]!HsSetValue(E15,"FCC","Scenario#"&amp;R15&amp;";Years#"&amp;J15&amp;";Period#"&amp;I15&amp;";View#"&amp;S15&amp;";Entity#"&amp;H15&amp;";Data Source#"&amp;K15&amp;";Account#"&amp;F15&amp;";Intercompany#"&amp;L15&amp;";Movement#"&amp;Q15&amp;";Consolidation#"&amp;T15&amp;";Custom1#"&amp;M15&amp;";Custom2#"&amp;N15&amp;";Custom3#"&amp;O15&amp;";Custom4#"&amp;P15&amp;"")</f>
        <v>#Invalid Syntax</v>
      </c>
      <c r="E15" s="375">
        <f>SUMIF('Investment Analysis'!$E$22:$E$69,'FCC Investments - Load Tab'!C15,'Investment Analysis'!$H$22:$H$69)</f>
        <v>0</v>
      </c>
      <c r="F15" s="376" t="s">
        <v>585</v>
      </c>
      <c r="G15" s="374" t="s">
        <v>989</v>
      </c>
      <c r="H15" s="378" t="e">
        <f t="shared" si="0"/>
        <v>#N/A</v>
      </c>
      <c r="I15" s="378" t="str">
        <f t="shared" si="0"/>
        <v>Jun</v>
      </c>
      <c r="J15" s="376" t="str">
        <f t="shared" si="0"/>
        <v>FY25</v>
      </c>
      <c r="K15" s="376" t="str">
        <f t="shared" si="0"/>
        <v>FCCS_Other Data</v>
      </c>
      <c r="L15" s="376" t="str">
        <f t="shared" si="0"/>
        <v>FCCS_No Intercompany</v>
      </c>
      <c r="M15" s="376" t="s">
        <v>845</v>
      </c>
      <c r="N15" s="376" t="s">
        <v>846</v>
      </c>
      <c r="O15" s="376" t="str">
        <f t="shared" si="1"/>
        <v>FMV</v>
      </c>
      <c r="P15" s="376" t="s">
        <v>875</v>
      </c>
      <c r="Q15" s="376" t="str">
        <f t="shared" si="3"/>
        <v>FCCS_ClosingBalance_Input</v>
      </c>
      <c r="R15" s="376" t="str">
        <f t="shared" si="4"/>
        <v>Actual</v>
      </c>
      <c r="S15" s="376" t="str">
        <f t="shared" si="4"/>
        <v>FCCS_YTD_Input</v>
      </c>
      <c r="T15" s="376" t="s">
        <v>850</v>
      </c>
    </row>
    <row r="16" spans="2:20" ht="14.85" customHeight="1" x14ac:dyDescent="0.3">
      <c r="B16" s="373" t="s">
        <v>975</v>
      </c>
      <c r="C16" s="374" t="s">
        <v>15</v>
      </c>
      <c r="D16" s="375" t="str">
        <f>[2]!HsSetValue(E16,"FCC","Scenario#"&amp;R16&amp;";Years#"&amp;J16&amp;";Period#"&amp;I16&amp;";View#"&amp;S16&amp;";Entity#"&amp;H16&amp;";Data Source#"&amp;K16&amp;";Account#"&amp;F16&amp;";Intercompany#"&amp;L16&amp;";Movement#"&amp;Q16&amp;";Consolidation#"&amp;T16&amp;";Custom1#"&amp;M16&amp;";Custom2#"&amp;N16&amp;";Custom3#"&amp;O16&amp;";Custom4#"&amp;P16&amp;"")</f>
        <v>#Invalid Syntax</v>
      </c>
      <c r="E16" s="375">
        <f>SUMIF('Investment Analysis'!$E$22:$E$69,'FCC Investments - Load Tab'!C16,'Investment Analysis'!$H$22:$H$69)</f>
        <v>0</v>
      </c>
      <c r="F16" s="376" t="s">
        <v>585</v>
      </c>
      <c r="G16" s="374" t="s">
        <v>990</v>
      </c>
      <c r="H16" s="378" t="e">
        <f t="shared" ref="H16:L38" si="5">+H$2</f>
        <v>#N/A</v>
      </c>
      <c r="I16" s="378" t="str">
        <f t="shared" si="5"/>
        <v>Jun</v>
      </c>
      <c r="J16" s="376" t="str">
        <f t="shared" si="5"/>
        <v>FY25</v>
      </c>
      <c r="K16" s="376" t="str">
        <f t="shared" si="5"/>
        <v>FCCS_Other Data</v>
      </c>
      <c r="L16" s="376" t="str">
        <f t="shared" si="5"/>
        <v>FCCS_No Intercompany</v>
      </c>
      <c r="M16" s="376" t="s">
        <v>845</v>
      </c>
      <c r="N16" s="376" t="s">
        <v>846</v>
      </c>
      <c r="O16" s="376" t="str">
        <f t="shared" si="1"/>
        <v>FMV</v>
      </c>
      <c r="P16" s="376" t="s">
        <v>716</v>
      </c>
      <c r="Q16" s="376" t="str">
        <f t="shared" si="3"/>
        <v>FCCS_ClosingBalance_Input</v>
      </c>
      <c r="R16" s="376" t="str">
        <f t="shared" si="4"/>
        <v>Actual</v>
      </c>
      <c r="S16" s="376" t="str">
        <f t="shared" si="4"/>
        <v>FCCS_YTD_Input</v>
      </c>
      <c r="T16" s="376" t="s">
        <v>850</v>
      </c>
    </row>
    <row r="17" spans="2:20" ht="14.85" customHeight="1" x14ac:dyDescent="0.3">
      <c r="B17" s="373" t="s">
        <v>975</v>
      </c>
      <c r="C17" s="374" t="s">
        <v>682</v>
      </c>
      <c r="D17" s="375" t="str">
        <f>[2]!HsSetValue(E17,"FCC","Scenario#"&amp;R17&amp;";Years#"&amp;J17&amp;";Period#"&amp;I17&amp;";View#"&amp;S17&amp;";Entity#"&amp;H17&amp;";Data Source#"&amp;K17&amp;";Account#"&amp;F17&amp;";Intercompany#"&amp;L17&amp;";Movement#"&amp;Q17&amp;";Consolidation#"&amp;T17&amp;";Custom1#"&amp;M17&amp;";Custom2#"&amp;N17&amp;";Custom3#"&amp;O17&amp;";Custom4#"&amp;P17&amp;"")</f>
        <v>#Invalid Syntax</v>
      </c>
      <c r="E17" s="375">
        <f>SUMIF('Investment Analysis'!$E$22:$E$69,'FCC Investments - Load Tab'!C17,'Investment Analysis'!$H$22:$H$69)</f>
        <v>0</v>
      </c>
      <c r="F17" s="376" t="s">
        <v>585</v>
      </c>
      <c r="G17" s="374" t="s">
        <v>991</v>
      </c>
      <c r="H17" s="378" t="e">
        <f t="shared" si="5"/>
        <v>#N/A</v>
      </c>
      <c r="I17" s="378" t="str">
        <f t="shared" si="5"/>
        <v>Jun</v>
      </c>
      <c r="J17" s="376" t="str">
        <f t="shared" si="5"/>
        <v>FY25</v>
      </c>
      <c r="K17" s="376" t="str">
        <f t="shared" si="5"/>
        <v>FCCS_Other Data</v>
      </c>
      <c r="L17" s="376" t="str">
        <f t="shared" si="5"/>
        <v>FCCS_No Intercompany</v>
      </c>
      <c r="M17" s="376" t="s">
        <v>845</v>
      </c>
      <c r="N17" s="376" t="s">
        <v>846</v>
      </c>
      <c r="O17" s="376" t="str">
        <f t="shared" si="1"/>
        <v>FMV</v>
      </c>
      <c r="P17" s="376" t="s">
        <v>717</v>
      </c>
      <c r="Q17" s="376" t="str">
        <f t="shared" si="3"/>
        <v>FCCS_ClosingBalance_Input</v>
      </c>
      <c r="R17" s="376" t="str">
        <f t="shared" si="4"/>
        <v>Actual</v>
      </c>
      <c r="S17" s="376" t="str">
        <f t="shared" si="4"/>
        <v>FCCS_YTD_Input</v>
      </c>
      <c r="T17" s="376" t="s">
        <v>850</v>
      </c>
    </row>
    <row r="18" spans="2:20" ht="14.85" customHeight="1" x14ac:dyDescent="0.3">
      <c r="B18" s="373" t="s">
        <v>975</v>
      </c>
      <c r="C18" s="374" t="s">
        <v>683</v>
      </c>
      <c r="D18" s="375" t="str">
        <f>[2]!HsSetValue(E18,"FCC","Scenario#"&amp;R18&amp;";Years#"&amp;J18&amp;";Period#"&amp;I18&amp;";View#"&amp;S18&amp;";Entity#"&amp;H18&amp;";Data Source#"&amp;K18&amp;";Account#"&amp;F18&amp;";Intercompany#"&amp;L18&amp;";Movement#"&amp;Q18&amp;";Consolidation#"&amp;T18&amp;";Custom1#"&amp;M18&amp;";Custom2#"&amp;N18&amp;";Custom3#"&amp;O18&amp;";Custom4#"&amp;P18&amp;"")</f>
        <v>#Invalid Syntax</v>
      </c>
      <c r="E18" s="375">
        <f>SUMIF('Investment Analysis'!$E$22:$E$69,'FCC Investments - Load Tab'!C18,'Investment Analysis'!$H$22:$H$69)</f>
        <v>0</v>
      </c>
      <c r="F18" s="376" t="s">
        <v>585</v>
      </c>
      <c r="G18" s="374" t="s">
        <v>992</v>
      </c>
      <c r="H18" s="378" t="e">
        <f t="shared" si="5"/>
        <v>#N/A</v>
      </c>
      <c r="I18" s="378" t="str">
        <f t="shared" si="5"/>
        <v>Jun</v>
      </c>
      <c r="J18" s="376" t="str">
        <f t="shared" si="5"/>
        <v>FY25</v>
      </c>
      <c r="K18" s="376" t="str">
        <f t="shared" si="5"/>
        <v>FCCS_Other Data</v>
      </c>
      <c r="L18" s="376" t="str">
        <f t="shared" si="5"/>
        <v>FCCS_No Intercompany</v>
      </c>
      <c r="M18" s="376" t="s">
        <v>845</v>
      </c>
      <c r="N18" s="376" t="s">
        <v>846</v>
      </c>
      <c r="O18" s="376" t="str">
        <f t="shared" si="1"/>
        <v>FMV</v>
      </c>
      <c r="P18" s="376" t="s">
        <v>718</v>
      </c>
      <c r="Q18" s="376" t="str">
        <f t="shared" si="3"/>
        <v>FCCS_ClosingBalance_Input</v>
      </c>
      <c r="R18" s="376" t="str">
        <f t="shared" si="4"/>
        <v>Actual</v>
      </c>
      <c r="S18" s="376" t="str">
        <f t="shared" si="4"/>
        <v>FCCS_YTD_Input</v>
      </c>
      <c r="T18" s="376" t="s">
        <v>850</v>
      </c>
    </row>
    <row r="19" spans="2:20" x14ac:dyDescent="0.3">
      <c r="B19" s="373" t="s">
        <v>975</v>
      </c>
      <c r="C19" s="374" t="s">
        <v>103</v>
      </c>
      <c r="D19" s="375" t="str">
        <f>[2]!HsSetValue(E19,"FCC","Scenario#"&amp;R19&amp;";Years#"&amp;J19&amp;";Period#"&amp;I19&amp;";View#"&amp;S19&amp;";Entity#"&amp;H19&amp;";Data Source#"&amp;K19&amp;";Account#"&amp;F19&amp;";Intercompany#"&amp;L19&amp;";Movement#"&amp;Q19&amp;";Consolidation#"&amp;T19&amp;";Custom1#"&amp;M19&amp;";Custom2#"&amp;N19&amp;";Custom3#"&amp;O19&amp;";Custom4#"&amp;P19&amp;"")</f>
        <v>#Invalid Syntax</v>
      </c>
      <c r="E19" s="375">
        <f>SUMIF('Investment Analysis'!$E$22:$E$69,'FCC Investments - Load Tab'!C19,'Investment Analysis'!$H$22:$H$69)</f>
        <v>0</v>
      </c>
      <c r="F19" s="376" t="s">
        <v>585</v>
      </c>
      <c r="G19" s="374" t="s">
        <v>993</v>
      </c>
      <c r="H19" s="378" t="e">
        <f t="shared" si="0"/>
        <v>#N/A</v>
      </c>
      <c r="I19" s="378" t="str">
        <f t="shared" si="0"/>
        <v>Jun</v>
      </c>
      <c r="J19" s="376" t="str">
        <f t="shared" si="0"/>
        <v>FY25</v>
      </c>
      <c r="K19" s="376" t="str">
        <f t="shared" si="0"/>
        <v>FCCS_Other Data</v>
      </c>
      <c r="L19" s="376" t="str">
        <f t="shared" si="0"/>
        <v>FCCS_No Intercompany</v>
      </c>
      <c r="M19" s="376" t="s">
        <v>845</v>
      </c>
      <c r="N19" s="376" t="s">
        <v>846</v>
      </c>
      <c r="O19" s="376" t="str">
        <f t="shared" si="1"/>
        <v>FMV</v>
      </c>
      <c r="P19" s="376" t="s">
        <v>573</v>
      </c>
      <c r="Q19" s="376" t="str">
        <f t="shared" si="3"/>
        <v>FCCS_ClosingBalance_Input</v>
      </c>
      <c r="R19" s="376" t="str">
        <f t="shared" si="4"/>
        <v>Actual</v>
      </c>
      <c r="S19" s="376" t="str">
        <f t="shared" si="4"/>
        <v>FCCS_YTD_Input</v>
      </c>
      <c r="T19" s="376" t="s">
        <v>850</v>
      </c>
    </row>
    <row r="20" spans="2:20" ht="15.6" customHeight="1" x14ac:dyDescent="0.3">
      <c r="B20" s="373" t="s">
        <v>975</v>
      </c>
      <c r="C20" s="374" t="s">
        <v>408</v>
      </c>
      <c r="D20" s="375" t="str">
        <f>[2]!HsSetValue(E20,"FCC","Scenario#"&amp;R20&amp;";Years#"&amp;J20&amp;";Period#"&amp;I20&amp;";View#"&amp;S20&amp;";Entity#"&amp;H20&amp;";Data Source#"&amp;K20&amp;";Account#"&amp;F20&amp;";Intercompany#"&amp;L20&amp;";Movement#"&amp;Q20&amp;";Consolidation#"&amp;T20&amp;";Custom1#"&amp;M20&amp;";Custom2#"&amp;N20&amp;";Custom3#"&amp;O20&amp;";Custom4#"&amp;P20&amp;"")</f>
        <v>#Invalid Syntax</v>
      </c>
      <c r="E20" s="375">
        <f>SUMIF('Investment Analysis'!$E$22:$E$69,'FCC Investments - Load Tab'!C20,'Investment Analysis'!$H$22:$H$69)</f>
        <v>0</v>
      </c>
      <c r="F20" s="376" t="s">
        <v>585</v>
      </c>
      <c r="G20" s="374" t="s">
        <v>994</v>
      </c>
      <c r="H20" s="378" t="e">
        <f t="shared" si="0"/>
        <v>#N/A</v>
      </c>
      <c r="I20" s="378" t="str">
        <f t="shared" si="0"/>
        <v>Jun</v>
      </c>
      <c r="J20" s="376" t="str">
        <f t="shared" si="0"/>
        <v>FY25</v>
      </c>
      <c r="K20" s="376" t="str">
        <f t="shared" si="0"/>
        <v>FCCS_Other Data</v>
      </c>
      <c r="L20" s="376" t="str">
        <f t="shared" si="0"/>
        <v>FCCS_No Intercompany</v>
      </c>
      <c r="M20" s="376" t="s">
        <v>845</v>
      </c>
      <c r="N20" s="376" t="s">
        <v>846</v>
      </c>
      <c r="O20" s="376" t="str">
        <f t="shared" si="1"/>
        <v>FMV</v>
      </c>
      <c r="P20" s="376" t="s">
        <v>574</v>
      </c>
      <c r="Q20" s="376" t="str">
        <f t="shared" si="3"/>
        <v>FCCS_ClosingBalance_Input</v>
      </c>
      <c r="R20" s="376" t="str">
        <f t="shared" si="4"/>
        <v>Actual</v>
      </c>
      <c r="S20" s="376" t="str">
        <f t="shared" si="4"/>
        <v>FCCS_YTD_Input</v>
      </c>
      <c r="T20" s="376" t="s">
        <v>850</v>
      </c>
    </row>
    <row r="21" spans="2:20" x14ac:dyDescent="0.3">
      <c r="B21" s="373" t="s">
        <v>975</v>
      </c>
      <c r="C21" s="374" t="s">
        <v>966</v>
      </c>
      <c r="D21" s="375" t="str">
        <f>[2]!HsSetValue(E21,"FCC","Scenario#"&amp;R21&amp;";Years#"&amp;J21&amp;";Period#"&amp;I21&amp;";View#"&amp;S21&amp;";Entity#"&amp;H21&amp;";Data Source#"&amp;K21&amp;";Account#"&amp;F21&amp;";Intercompany#"&amp;L21&amp;";Movement#"&amp;Q21&amp;";Consolidation#"&amp;T21&amp;";Custom1#"&amp;M21&amp;";Custom2#"&amp;N21&amp;";Custom3#"&amp;O21&amp;";Custom4#"&amp;P21&amp;"")</f>
        <v>#Invalid Syntax</v>
      </c>
      <c r="E21" s="375">
        <f>SUMIF('Investment Analysis'!$E$22:$E$69,'FCC Investments - Load Tab'!C21,'Investment Analysis'!$H$22:$H$69)</f>
        <v>0</v>
      </c>
      <c r="F21" s="376" t="s">
        <v>585</v>
      </c>
      <c r="G21" s="374" t="s">
        <v>995</v>
      </c>
      <c r="H21" s="378" t="e">
        <f t="shared" si="0"/>
        <v>#N/A</v>
      </c>
      <c r="I21" s="378" t="str">
        <f t="shared" si="0"/>
        <v>Jun</v>
      </c>
      <c r="J21" s="376" t="str">
        <f t="shared" si="0"/>
        <v>FY25</v>
      </c>
      <c r="K21" s="376" t="str">
        <f t="shared" si="0"/>
        <v>FCCS_Other Data</v>
      </c>
      <c r="L21" s="376" t="str">
        <f t="shared" si="0"/>
        <v>FCCS_No Intercompany</v>
      </c>
      <c r="M21" s="376" t="s">
        <v>845</v>
      </c>
      <c r="N21" s="376" t="s">
        <v>846</v>
      </c>
      <c r="O21" s="376" t="str">
        <f t="shared" si="1"/>
        <v>FMV</v>
      </c>
      <c r="P21" s="376" t="s">
        <v>876</v>
      </c>
      <c r="Q21" s="376" t="str">
        <f t="shared" si="3"/>
        <v>FCCS_ClosingBalance_Input</v>
      </c>
      <c r="R21" s="376" t="str">
        <f t="shared" si="4"/>
        <v>Actual</v>
      </c>
      <c r="S21" s="376" t="str">
        <f t="shared" si="4"/>
        <v>FCCS_YTD_Input</v>
      </c>
      <c r="T21" s="376" t="s">
        <v>850</v>
      </c>
    </row>
    <row r="22" spans="2:20" ht="14.85" customHeight="1" x14ac:dyDescent="0.3">
      <c r="B22" s="373" t="s">
        <v>975</v>
      </c>
      <c r="C22" s="374" t="s">
        <v>38</v>
      </c>
      <c r="D22" s="375" t="str">
        <f>[2]!HsSetValue(E22,"FCC","Scenario#"&amp;R22&amp;";Years#"&amp;J22&amp;";Period#"&amp;I22&amp;";View#"&amp;S22&amp;";Entity#"&amp;H22&amp;";Data Source#"&amp;K22&amp;";Account#"&amp;F22&amp;";Intercompany#"&amp;L22&amp;";Movement#"&amp;Q22&amp;";Consolidation#"&amp;T22&amp;";Custom1#"&amp;M22&amp;";Custom2#"&amp;N22&amp;";Custom3#"&amp;O22&amp;";Custom4#"&amp;P22&amp;"")</f>
        <v>#Invalid Syntax</v>
      </c>
      <c r="E22" s="375">
        <f>SUMIF('Investment Analysis'!$E$22:$E$69,'FCC Investments - Load Tab'!C22,'Investment Analysis'!$H$22:$H$69)</f>
        <v>0</v>
      </c>
      <c r="F22" s="376" t="s">
        <v>585</v>
      </c>
      <c r="G22" s="374" t="s">
        <v>996</v>
      </c>
      <c r="H22" s="378" t="e">
        <f t="shared" si="0"/>
        <v>#N/A</v>
      </c>
      <c r="I22" s="378" t="str">
        <f t="shared" si="0"/>
        <v>Jun</v>
      </c>
      <c r="J22" s="376" t="str">
        <f t="shared" si="0"/>
        <v>FY25</v>
      </c>
      <c r="K22" s="376" t="str">
        <f t="shared" si="0"/>
        <v>FCCS_Other Data</v>
      </c>
      <c r="L22" s="376" t="str">
        <f t="shared" si="0"/>
        <v>FCCS_No Intercompany</v>
      </c>
      <c r="M22" s="376" t="s">
        <v>845</v>
      </c>
      <c r="N22" s="376" t="s">
        <v>846</v>
      </c>
      <c r="O22" s="376" t="str">
        <f t="shared" si="1"/>
        <v>FMV</v>
      </c>
      <c r="P22" s="376" t="s">
        <v>575</v>
      </c>
      <c r="Q22" s="376" t="str">
        <f t="shared" si="3"/>
        <v>FCCS_ClosingBalance_Input</v>
      </c>
      <c r="R22" s="376" t="str">
        <f t="shared" si="4"/>
        <v>Actual</v>
      </c>
      <c r="S22" s="376" t="str">
        <f t="shared" si="4"/>
        <v>FCCS_YTD_Input</v>
      </c>
      <c r="T22" s="376" t="s">
        <v>850</v>
      </c>
    </row>
    <row r="23" spans="2:20" x14ac:dyDescent="0.3">
      <c r="B23" s="373" t="s">
        <v>975</v>
      </c>
      <c r="C23" s="374" t="s">
        <v>414</v>
      </c>
      <c r="D23" s="375" t="str">
        <f>[2]!HsSetValue(E23,"FCC","Scenario#"&amp;R23&amp;";Years#"&amp;J23&amp;";Period#"&amp;I23&amp;";View#"&amp;S23&amp;";Entity#"&amp;H23&amp;";Data Source#"&amp;K23&amp;";Account#"&amp;F23&amp;";Intercompany#"&amp;L23&amp;";Movement#"&amp;Q23&amp;";Consolidation#"&amp;T23&amp;";Custom1#"&amp;M23&amp;";Custom2#"&amp;N23&amp;";Custom3#"&amp;O23&amp;";Custom4#"&amp;P23&amp;"")</f>
        <v>#Invalid Syntax</v>
      </c>
      <c r="E23" s="375">
        <f>SUMIF('Investment Analysis'!$E$22:$E$69,'FCC Investments - Load Tab'!C23,'Investment Analysis'!$H$22:$H$69)</f>
        <v>0</v>
      </c>
      <c r="F23" s="376" t="s">
        <v>585</v>
      </c>
      <c r="G23" s="374" t="s">
        <v>997</v>
      </c>
      <c r="H23" s="378" t="e">
        <f t="shared" si="0"/>
        <v>#N/A</v>
      </c>
      <c r="I23" s="378" t="str">
        <f t="shared" si="0"/>
        <v>Jun</v>
      </c>
      <c r="J23" s="376" t="str">
        <f t="shared" si="0"/>
        <v>FY25</v>
      </c>
      <c r="K23" s="376" t="str">
        <f t="shared" si="0"/>
        <v>FCCS_Other Data</v>
      </c>
      <c r="L23" s="376" t="str">
        <f t="shared" si="0"/>
        <v>FCCS_No Intercompany</v>
      </c>
      <c r="M23" s="376" t="s">
        <v>845</v>
      </c>
      <c r="N23" s="376" t="s">
        <v>846</v>
      </c>
      <c r="O23" s="376" t="str">
        <f t="shared" si="1"/>
        <v>FMV</v>
      </c>
      <c r="P23" s="376" t="s">
        <v>576</v>
      </c>
      <c r="Q23" s="376" t="str">
        <f t="shared" si="3"/>
        <v>FCCS_ClosingBalance_Input</v>
      </c>
      <c r="R23" s="376" t="str">
        <f t="shared" si="4"/>
        <v>Actual</v>
      </c>
      <c r="S23" s="376" t="str">
        <f t="shared" si="4"/>
        <v>FCCS_YTD_Input</v>
      </c>
      <c r="T23" s="376" t="s">
        <v>850</v>
      </c>
    </row>
    <row r="24" spans="2:20" x14ac:dyDescent="0.3">
      <c r="B24" s="373" t="s">
        <v>975</v>
      </c>
      <c r="C24" s="374" t="s">
        <v>918</v>
      </c>
      <c r="D24" s="375" t="str">
        <f>[2]!HsSetValue(E24,"FCC","Scenario#"&amp;R24&amp;";Years#"&amp;J24&amp;";Period#"&amp;I24&amp;";View#"&amp;S24&amp;";Entity#"&amp;H24&amp;";Data Source#"&amp;K24&amp;";Account#"&amp;F24&amp;";Intercompany#"&amp;L24&amp;";Movement#"&amp;Q24&amp;";Consolidation#"&amp;T24&amp;";Custom1#"&amp;M24&amp;";Custom2#"&amp;N24&amp;";Custom3#"&amp;O24&amp;";Custom4#"&amp;P24&amp;"")</f>
        <v>#Invalid Syntax</v>
      </c>
      <c r="E24" s="375">
        <f>SUMIF('Investment Analysis'!$E$22:$E$69,'FCC Investments - Load Tab'!C24,'Investment Analysis'!$H$22:$H$69)</f>
        <v>0</v>
      </c>
      <c r="F24" s="376" t="s">
        <v>585</v>
      </c>
      <c r="G24" s="374" t="s">
        <v>998</v>
      </c>
      <c r="H24" s="378" t="e">
        <f t="shared" si="0"/>
        <v>#N/A</v>
      </c>
      <c r="I24" s="378" t="str">
        <f t="shared" si="0"/>
        <v>Jun</v>
      </c>
      <c r="J24" s="376" t="str">
        <f t="shared" si="0"/>
        <v>FY25</v>
      </c>
      <c r="K24" s="376" t="str">
        <f t="shared" si="0"/>
        <v>FCCS_Other Data</v>
      </c>
      <c r="L24" s="376" t="str">
        <f t="shared" si="0"/>
        <v>FCCS_No Intercompany</v>
      </c>
      <c r="M24" s="376" t="s">
        <v>845</v>
      </c>
      <c r="N24" s="376" t="s">
        <v>846</v>
      </c>
      <c r="O24" s="376" t="str">
        <f t="shared" si="1"/>
        <v>FMV</v>
      </c>
      <c r="P24" s="376" t="s">
        <v>921</v>
      </c>
      <c r="Q24" s="376" t="str">
        <f t="shared" si="3"/>
        <v>FCCS_ClosingBalance_Input</v>
      </c>
      <c r="R24" s="376" t="str">
        <f t="shared" si="4"/>
        <v>Actual</v>
      </c>
      <c r="S24" s="376" t="str">
        <f t="shared" si="4"/>
        <v>FCCS_YTD_Input</v>
      </c>
      <c r="T24" s="376" t="s">
        <v>850</v>
      </c>
    </row>
    <row r="25" spans="2:20" x14ac:dyDescent="0.3">
      <c r="B25" s="373" t="s">
        <v>975</v>
      </c>
      <c r="C25" s="374" t="s">
        <v>919</v>
      </c>
      <c r="D25" s="375" t="str">
        <f>[2]!HsSetValue(E25,"FCC","Scenario#"&amp;R25&amp;";Years#"&amp;J25&amp;";Period#"&amp;I25&amp;";View#"&amp;S25&amp;";Entity#"&amp;H25&amp;";Data Source#"&amp;K25&amp;";Account#"&amp;F25&amp;";Intercompany#"&amp;L25&amp;";Movement#"&amp;Q25&amp;";Consolidation#"&amp;T25&amp;";Custom1#"&amp;M25&amp;";Custom2#"&amp;N25&amp;";Custom3#"&amp;O25&amp;";Custom4#"&amp;P25&amp;"")</f>
        <v>#Invalid Syntax</v>
      </c>
      <c r="E25" s="375">
        <f>SUMIF('Investment Analysis'!$E$22:$E$69,'FCC Investments - Load Tab'!C25,'Investment Analysis'!$H$22:$H$69)</f>
        <v>0</v>
      </c>
      <c r="F25" s="376" t="s">
        <v>585</v>
      </c>
      <c r="G25" s="374" t="s">
        <v>999</v>
      </c>
      <c r="H25" s="378" t="e">
        <f t="shared" si="0"/>
        <v>#N/A</v>
      </c>
      <c r="I25" s="378" t="str">
        <f t="shared" si="0"/>
        <v>Jun</v>
      </c>
      <c r="J25" s="376" t="str">
        <f t="shared" si="0"/>
        <v>FY25</v>
      </c>
      <c r="K25" s="376" t="str">
        <f t="shared" si="0"/>
        <v>FCCS_Other Data</v>
      </c>
      <c r="L25" s="376" t="str">
        <f t="shared" si="0"/>
        <v>FCCS_No Intercompany</v>
      </c>
      <c r="M25" s="376" t="s">
        <v>845</v>
      </c>
      <c r="N25" s="376" t="s">
        <v>846</v>
      </c>
      <c r="O25" s="376" t="str">
        <f t="shared" si="1"/>
        <v>FMV</v>
      </c>
      <c r="P25" s="376" t="s">
        <v>877</v>
      </c>
      <c r="Q25" s="376" t="str">
        <f t="shared" si="3"/>
        <v>FCCS_ClosingBalance_Input</v>
      </c>
      <c r="R25" s="376" t="str">
        <f t="shared" si="4"/>
        <v>Actual</v>
      </c>
      <c r="S25" s="376" t="str">
        <f t="shared" si="4"/>
        <v>FCCS_YTD_Input</v>
      </c>
      <c r="T25" s="376" t="s">
        <v>850</v>
      </c>
    </row>
    <row r="26" spans="2:20" ht="14.85" customHeight="1" x14ac:dyDescent="0.3">
      <c r="B26" s="373" t="s">
        <v>975</v>
      </c>
      <c r="C26" s="374" t="s">
        <v>684</v>
      </c>
      <c r="D26" s="375" t="str">
        <f>[2]!HsSetValue(E26,"FCC","Scenario#"&amp;R26&amp;";Years#"&amp;J26&amp;";Period#"&amp;I26&amp;";View#"&amp;S26&amp;";Entity#"&amp;H26&amp;";Data Source#"&amp;K26&amp;";Account#"&amp;F26&amp;";Intercompany#"&amp;L26&amp;";Movement#"&amp;Q26&amp;";Consolidation#"&amp;T26&amp;";Custom1#"&amp;M26&amp;";Custom2#"&amp;N26&amp;";Custom3#"&amp;O26&amp;";Custom4#"&amp;P26&amp;"")</f>
        <v>#Invalid Syntax</v>
      </c>
      <c r="E26" s="375">
        <f>SUMIF('Investment Analysis'!$E$22:$E$69,'FCC Investments - Load Tab'!C26,'Investment Analysis'!$H$22:$H$69)</f>
        <v>0</v>
      </c>
      <c r="F26" s="376" t="s">
        <v>585</v>
      </c>
      <c r="G26" s="374" t="s">
        <v>1000</v>
      </c>
      <c r="H26" s="378" t="e">
        <f t="shared" si="5"/>
        <v>#N/A</v>
      </c>
      <c r="I26" s="378" t="str">
        <f t="shared" si="5"/>
        <v>Jun</v>
      </c>
      <c r="J26" s="376" t="str">
        <f t="shared" si="5"/>
        <v>FY25</v>
      </c>
      <c r="K26" s="376" t="str">
        <f t="shared" si="5"/>
        <v>FCCS_Other Data</v>
      </c>
      <c r="L26" s="376" t="str">
        <f t="shared" si="5"/>
        <v>FCCS_No Intercompany</v>
      </c>
      <c r="M26" s="376" t="s">
        <v>845</v>
      </c>
      <c r="N26" s="376" t="s">
        <v>846</v>
      </c>
      <c r="O26" s="376" t="str">
        <f t="shared" si="1"/>
        <v>FMV</v>
      </c>
      <c r="P26" s="376" t="s">
        <v>719</v>
      </c>
      <c r="Q26" s="376" t="str">
        <f t="shared" si="3"/>
        <v>FCCS_ClosingBalance_Input</v>
      </c>
      <c r="R26" s="376" t="str">
        <f t="shared" si="4"/>
        <v>Actual</v>
      </c>
      <c r="S26" s="376" t="str">
        <f t="shared" si="4"/>
        <v>FCCS_YTD_Input</v>
      </c>
      <c r="T26" s="376" t="s">
        <v>850</v>
      </c>
    </row>
    <row r="27" spans="2:20" ht="14.85" customHeight="1" x14ac:dyDescent="0.3">
      <c r="B27" s="373" t="s">
        <v>975</v>
      </c>
      <c r="C27" s="374" t="s">
        <v>893</v>
      </c>
      <c r="D27" s="375" t="str">
        <f>[2]!HsSetValue(E27,"FCC","Scenario#"&amp;R27&amp;";Years#"&amp;J27&amp;";Period#"&amp;I27&amp;";View#"&amp;S27&amp;";Entity#"&amp;H27&amp;";Data Source#"&amp;K27&amp;";Account#"&amp;F27&amp;";Intercompany#"&amp;L27&amp;";Movement#"&amp;Q27&amp;";Consolidation#"&amp;T27&amp;";Custom1#"&amp;M27&amp;";Custom2#"&amp;N27&amp;";Custom3#"&amp;O27&amp;";Custom4#"&amp;P27&amp;"")</f>
        <v>#Invalid Syntax</v>
      </c>
      <c r="E27" s="375">
        <f>SUMIF('Investment Analysis'!$E$22:$E$69,'FCC Investments - Load Tab'!C27,'Investment Analysis'!$H$22:$H$69)</f>
        <v>0</v>
      </c>
      <c r="F27" s="376" t="s">
        <v>585</v>
      </c>
      <c r="G27" s="374" t="s">
        <v>1001</v>
      </c>
      <c r="H27" s="378" t="e">
        <f t="shared" si="5"/>
        <v>#N/A</v>
      </c>
      <c r="I27" s="378" t="str">
        <f t="shared" si="5"/>
        <v>Jun</v>
      </c>
      <c r="J27" s="376" t="str">
        <f t="shared" si="5"/>
        <v>FY25</v>
      </c>
      <c r="K27" s="376" t="str">
        <f t="shared" si="5"/>
        <v>FCCS_Other Data</v>
      </c>
      <c r="L27" s="376" t="str">
        <f t="shared" si="5"/>
        <v>FCCS_No Intercompany</v>
      </c>
      <c r="M27" s="376" t="s">
        <v>845</v>
      </c>
      <c r="N27" s="376" t="s">
        <v>846</v>
      </c>
      <c r="O27" s="376" t="str">
        <f t="shared" si="1"/>
        <v>FMV</v>
      </c>
      <c r="P27" s="376" t="s">
        <v>720</v>
      </c>
      <c r="Q27" s="376" t="str">
        <f t="shared" si="3"/>
        <v>FCCS_ClosingBalance_Input</v>
      </c>
      <c r="R27" s="376" t="str">
        <f t="shared" si="4"/>
        <v>Actual</v>
      </c>
      <c r="S27" s="376" t="str">
        <f t="shared" si="4"/>
        <v>FCCS_YTD_Input</v>
      </c>
      <c r="T27" s="376" t="s">
        <v>850</v>
      </c>
    </row>
    <row r="28" spans="2:20" ht="14.85" customHeight="1" x14ac:dyDescent="0.3">
      <c r="B28" s="373" t="s">
        <v>975</v>
      </c>
      <c r="C28" s="374" t="s">
        <v>956</v>
      </c>
      <c r="D28" s="375" t="str">
        <f>[2]!HsSetValue(E28,"FCC","Scenario#"&amp;R28&amp;";Years#"&amp;J28&amp;";Period#"&amp;I28&amp;";View#"&amp;S28&amp;";Entity#"&amp;H28&amp;";Data Source#"&amp;K28&amp;";Account#"&amp;F28&amp;";Intercompany#"&amp;L28&amp;";Movement#"&amp;Q28&amp;";Consolidation#"&amp;T28&amp;";Custom1#"&amp;M28&amp;";Custom2#"&amp;N28&amp;";Custom3#"&amp;O28&amp;";Custom4#"&amp;P28&amp;"")</f>
        <v>#Invalid Syntax</v>
      </c>
      <c r="E28" s="375">
        <f>SUMIF('Investment Analysis'!$E$22:$E$69,'FCC Investments - Load Tab'!C28,'Investment Analysis'!$H$22:$H$69)</f>
        <v>0</v>
      </c>
      <c r="F28" s="376" t="s">
        <v>585</v>
      </c>
      <c r="G28" s="374" t="s">
        <v>1002</v>
      </c>
      <c r="H28" s="378" t="e">
        <f t="shared" si="5"/>
        <v>#N/A</v>
      </c>
      <c r="I28" s="378" t="str">
        <f t="shared" si="5"/>
        <v>Jun</v>
      </c>
      <c r="J28" s="376" t="str">
        <f t="shared" si="5"/>
        <v>FY25</v>
      </c>
      <c r="K28" s="376" t="str">
        <f t="shared" si="5"/>
        <v>FCCS_Other Data</v>
      </c>
      <c r="L28" s="376" t="str">
        <f t="shared" si="5"/>
        <v>FCCS_No Intercompany</v>
      </c>
      <c r="M28" s="376" t="s">
        <v>845</v>
      </c>
      <c r="N28" s="376" t="s">
        <v>846</v>
      </c>
      <c r="O28" s="376" t="str">
        <f t="shared" si="1"/>
        <v>FMV</v>
      </c>
      <c r="P28" s="376" t="s">
        <v>878</v>
      </c>
      <c r="Q28" s="376" t="str">
        <f t="shared" si="3"/>
        <v>FCCS_ClosingBalance_Input</v>
      </c>
      <c r="R28" s="376" t="str">
        <f t="shared" si="4"/>
        <v>Actual</v>
      </c>
      <c r="S28" s="376" t="str">
        <f t="shared" si="4"/>
        <v>FCCS_YTD_Input</v>
      </c>
      <c r="T28" s="376" t="s">
        <v>850</v>
      </c>
    </row>
    <row r="29" spans="2:20" x14ac:dyDescent="0.3">
      <c r="B29" s="373" t="s">
        <v>975</v>
      </c>
      <c r="C29" s="374" t="s">
        <v>409</v>
      </c>
      <c r="D29" s="375" t="str">
        <f>[2]!HsSetValue(E29,"FCC","Scenario#"&amp;R29&amp;";Years#"&amp;J29&amp;";Period#"&amp;I29&amp;";View#"&amp;S29&amp;";Entity#"&amp;H29&amp;";Data Source#"&amp;K29&amp;";Account#"&amp;F29&amp;";Intercompany#"&amp;L29&amp;";Movement#"&amp;Q29&amp;";Consolidation#"&amp;T29&amp;";Custom1#"&amp;M29&amp;";Custom2#"&amp;N29&amp;";Custom3#"&amp;O29&amp;";Custom4#"&amp;P29&amp;"")</f>
        <v>#Invalid Syntax</v>
      </c>
      <c r="E29" s="375">
        <f>SUMIF('Investment Analysis'!$E$22:$E$69,'FCC Investments - Load Tab'!C29,'Investment Analysis'!$H$22:$H$69)</f>
        <v>0</v>
      </c>
      <c r="F29" s="376" t="s">
        <v>585</v>
      </c>
      <c r="G29" s="374" t="s">
        <v>1003</v>
      </c>
      <c r="H29" s="378" t="e">
        <f t="shared" si="0"/>
        <v>#N/A</v>
      </c>
      <c r="I29" s="378" t="str">
        <f t="shared" si="0"/>
        <v>Jun</v>
      </c>
      <c r="J29" s="376" t="str">
        <f t="shared" si="0"/>
        <v>FY25</v>
      </c>
      <c r="K29" s="376" t="str">
        <f t="shared" si="0"/>
        <v>FCCS_Other Data</v>
      </c>
      <c r="L29" s="376" t="str">
        <f t="shared" si="0"/>
        <v>FCCS_No Intercompany</v>
      </c>
      <c r="M29" s="376" t="s">
        <v>845</v>
      </c>
      <c r="N29" s="376" t="s">
        <v>846</v>
      </c>
      <c r="O29" s="376" t="str">
        <f t="shared" si="1"/>
        <v>FMV</v>
      </c>
      <c r="P29" s="376" t="s">
        <v>578</v>
      </c>
      <c r="Q29" s="376" t="str">
        <f t="shared" si="3"/>
        <v>FCCS_ClosingBalance_Input</v>
      </c>
      <c r="R29" s="376" t="str">
        <f t="shared" si="4"/>
        <v>Actual</v>
      </c>
      <c r="S29" s="376" t="str">
        <f t="shared" si="4"/>
        <v>FCCS_YTD_Input</v>
      </c>
      <c r="T29" s="376" t="s">
        <v>850</v>
      </c>
    </row>
    <row r="30" spans="2:20" x14ac:dyDescent="0.3">
      <c r="B30" s="373" t="s">
        <v>975</v>
      </c>
      <c r="C30" s="374" t="s">
        <v>95</v>
      </c>
      <c r="D30" s="375" t="str">
        <f>[2]!HsSetValue(E30,"FCC","Scenario#"&amp;R30&amp;";Years#"&amp;J30&amp;";Period#"&amp;I30&amp;";View#"&amp;S30&amp;";Entity#"&amp;H30&amp;";Data Source#"&amp;K30&amp;";Account#"&amp;F30&amp;";Intercompany#"&amp;L30&amp;";Movement#"&amp;Q30&amp;";Consolidation#"&amp;T30&amp;";Custom1#"&amp;M30&amp;";Custom2#"&amp;N30&amp;";Custom3#"&amp;O30&amp;";Custom4#"&amp;P30&amp;"")</f>
        <v>#Invalid Syntax</v>
      </c>
      <c r="E30" s="375">
        <f>SUMIF('Investment Analysis'!$E$22:$E$69,'FCC Investments - Load Tab'!C30,'Investment Analysis'!$H$22:$H$69)</f>
        <v>0</v>
      </c>
      <c r="F30" s="376" t="s">
        <v>585</v>
      </c>
      <c r="G30" s="374" t="s">
        <v>1004</v>
      </c>
      <c r="H30" s="378" t="e">
        <f t="shared" si="0"/>
        <v>#N/A</v>
      </c>
      <c r="I30" s="378" t="str">
        <f t="shared" si="0"/>
        <v>Jun</v>
      </c>
      <c r="J30" s="376" t="str">
        <f t="shared" si="0"/>
        <v>FY25</v>
      </c>
      <c r="K30" s="376" t="str">
        <f t="shared" si="0"/>
        <v>FCCS_Other Data</v>
      </c>
      <c r="L30" s="376" t="str">
        <f t="shared" si="0"/>
        <v>FCCS_No Intercompany</v>
      </c>
      <c r="M30" s="376" t="s">
        <v>845</v>
      </c>
      <c r="N30" s="376" t="s">
        <v>846</v>
      </c>
      <c r="O30" s="376" t="str">
        <f t="shared" si="1"/>
        <v>FMV</v>
      </c>
      <c r="P30" s="376" t="s">
        <v>879</v>
      </c>
      <c r="Q30" s="376" t="str">
        <f t="shared" si="3"/>
        <v>FCCS_ClosingBalance_Input</v>
      </c>
      <c r="R30" s="376" t="str">
        <f t="shared" si="4"/>
        <v>Actual</v>
      </c>
      <c r="S30" s="376" t="str">
        <f t="shared" si="4"/>
        <v>FCCS_YTD_Input</v>
      </c>
      <c r="T30" s="376" t="s">
        <v>850</v>
      </c>
    </row>
    <row r="31" spans="2:20" x14ac:dyDescent="0.3">
      <c r="B31" s="373" t="s">
        <v>975</v>
      </c>
      <c r="C31" s="374" t="s">
        <v>93</v>
      </c>
      <c r="D31" s="375" t="str">
        <f>[2]!HsSetValue(E31,"FCC","Scenario#"&amp;R31&amp;";Years#"&amp;J31&amp;";Period#"&amp;I31&amp;";View#"&amp;S31&amp;";Entity#"&amp;H31&amp;";Data Source#"&amp;K31&amp;";Account#"&amp;F31&amp;";Intercompany#"&amp;L31&amp;";Movement#"&amp;Q31&amp;";Consolidation#"&amp;T31&amp;";Custom1#"&amp;M31&amp;";Custom2#"&amp;N31&amp;";Custom3#"&amp;O31&amp;";Custom4#"&amp;P31&amp;"")</f>
        <v>#Invalid Syntax</v>
      </c>
      <c r="E31" s="375">
        <f>SUMIF('Investment Analysis'!$E$22:$E$69,'FCC Investments - Load Tab'!C31,'Investment Analysis'!$H$22:$H$69)</f>
        <v>0</v>
      </c>
      <c r="F31" s="376" t="s">
        <v>585</v>
      </c>
      <c r="G31" s="374" t="s">
        <v>1005</v>
      </c>
      <c r="H31" s="378" t="e">
        <f t="shared" si="5"/>
        <v>#N/A</v>
      </c>
      <c r="I31" s="378" t="str">
        <f t="shared" si="5"/>
        <v>Jun</v>
      </c>
      <c r="J31" s="376" t="str">
        <f t="shared" si="5"/>
        <v>FY25</v>
      </c>
      <c r="K31" s="376" t="str">
        <f t="shared" si="5"/>
        <v>FCCS_Other Data</v>
      </c>
      <c r="L31" s="376" t="str">
        <f t="shared" si="5"/>
        <v>FCCS_No Intercompany</v>
      </c>
      <c r="M31" s="376" t="s">
        <v>845</v>
      </c>
      <c r="N31" s="376" t="s">
        <v>846</v>
      </c>
      <c r="O31" s="376" t="str">
        <f t="shared" si="1"/>
        <v>FMV</v>
      </c>
      <c r="P31" s="376" t="s">
        <v>579</v>
      </c>
      <c r="Q31" s="376" t="str">
        <f t="shared" si="3"/>
        <v>FCCS_ClosingBalance_Input</v>
      </c>
      <c r="R31" s="376" t="str">
        <f t="shared" si="4"/>
        <v>Actual</v>
      </c>
      <c r="S31" s="376" t="str">
        <f t="shared" si="4"/>
        <v>FCCS_YTD_Input</v>
      </c>
      <c r="T31" s="376" t="s">
        <v>850</v>
      </c>
    </row>
    <row r="32" spans="2:20" x14ac:dyDescent="0.3">
      <c r="B32" s="373" t="s">
        <v>975</v>
      </c>
      <c r="C32" s="374" t="s">
        <v>957</v>
      </c>
      <c r="D32" s="375" t="str">
        <f>[2]!HsSetValue(E32,"FCC","Scenario#"&amp;R32&amp;";Years#"&amp;J32&amp;";Period#"&amp;I32&amp;";View#"&amp;S32&amp;";Entity#"&amp;H32&amp;";Data Source#"&amp;K32&amp;";Account#"&amp;F32&amp;";Intercompany#"&amp;L32&amp;";Movement#"&amp;Q32&amp;";Consolidation#"&amp;T32&amp;";Custom1#"&amp;M32&amp;";Custom2#"&amp;N32&amp;";Custom3#"&amp;O32&amp;";Custom4#"&amp;P32&amp;"")</f>
        <v>#Invalid Syntax</v>
      </c>
      <c r="E32" s="375">
        <f>SUMIF('Investment Analysis'!$E$22:$E$69,'FCC Investments - Load Tab'!C32,'Investment Analysis'!$H$22:$H$69)</f>
        <v>0</v>
      </c>
      <c r="F32" s="376" t="s">
        <v>585</v>
      </c>
      <c r="G32" s="374" t="s">
        <v>1006</v>
      </c>
      <c r="H32" s="378" t="e">
        <f t="shared" si="5"/>
        <v>#N/A</v>
      </c>
      <c r="I32" s="378" t="str">
        <f t="shared" si="5"/>
        <v>Jun</v>
      </c>
      <c r="J32" s="376" t="str">
        <f t="shared" si="5"/>
        <v>FY25</v>
      </c>
      <c r="K32" s="376" t="str">
        <f t="shared" si="5"/>
        <v>FCCS_Other Data</v>
      </c>
      <c r="L32" s="376" t="str">
        <f t="shared" si="5"/>
        <v>FCCS_No Intercompany</v>
      </c>
      <c r="M32" s="376" t="s">
        <v>845</v>
      </c>
      <c r="N32" s="376" t="s">
        <v>846</v>
      </c>
      <c r="O32" s="376" t="str">
        <f t="shared" si="1"/>
        <v>FMV</v>
      </c>
      <c r="P32" s="376" t="s">
        <v>880</v>
      </c>
      <c r="Q32" s="376" t="str">
        <f t="shared" si="3"/>
        <v>FCCS_ClosingBalance_Input</v>
      </c>
      <c r="R32" s="376" t="str">
        <f t="shared" si="4"/>
        <v>Actual</v>
      </c>
      <c r="S32" s="376" t="str">
        <f t="shared" si="4"/>
        <v>FCCS_YTD_Input</v>
      </c>
      <c r="T32" s="376" t="s">
        <v>850</v>
      </c>
    </row>
    <row r="33" spans="2:20" x14ac:dyDescent="0.3">
      <c r="B33" s="373" t="s">
        <v>975</v>
      </c>
      <c r="C33" s="374" t="s">
        <v>406</v>
      </c>
      <c r="D33" s="375" t="str">
        <f>[2]!HsSetValue(E33,"FCC","Scenario#"&amp;R33&amp;";Years#"&amp;J33&amp;";Period#"&amp;I33&amp;";View#"&amp;S33&amp;";Entity#"&amp;H33&amp;";Data Source#"&amp;K33&amp;";Account#"&amp;F33&amp;";Intercompany#"&amp;L33&amp;";Movement#"&amp;Q33&amp;";Consolidation#"&amp;T33&amp;";Custom1#"&amp;M33&amp;";Custom2#"&amp;N33&amp;";Custom3#"&amp;O33&amp;";Custom4#"&amp;P33&amp;"")</f>
        <v>#Invalid Syntax</v>
      </c>
      <c r="E33" s="375">
        <f>SUMIF('Investment Analysis'!$E$22:$E$69,'FCC Investments - Load Tab'!C33,'Investment Analysis'!$H$22:$H$69)</f>
        <v>0</v>
      </c>
      <c r="F33" s="376" t="s">
        <v>585</v>
      </c>
      <c r="G33" s="374" t="s">
        <v>1007</v>
      </c>
      <c r="H33" s="378" t="e">
        <f t="shared" si="5"/>
        <v>#N/A</v>
      </c>
      <c r="I33" s="378" t="str">
        <f t="shared" si="5"/>
        <v>Jun</v>
      </c>
      <c r="J33" s="376" t="str">
        <f t="shared" si="5"/>
        <v>FY25</v>
      </c>
      <c r="K33" s="376" t="str">
        <f t="shared" si="5"/>
        <v>FCCS_Other Data</v>
      </c>
      <c r="L33" s="376" t="str">
        <f t="shared" si="5"/>
        <v>FCCS_No Intercompany</v>
      </c>
      <c r="M33" s="376" t="s">
        <v>845</v>
      </c>
      <c r="N33" s="376" t="s">
        <v>846</v>
      </c>
      <c r="O33" s="376" t="str">
        <f t="shared" si="1"/>
        <v>FMV</v>
      </c>
      <c r="P33" s="376" t="s">
        <v>580</v>
      </c>
      <c r="Q33" s="376" t="str">
        <f t="shared" si="3"/>
        <v>FCCS_ClosingBalance_Input</v>
      </c>
      <c r="R33" s="376" t="str">
        <f t="shared" si="4"/>
        <v>Actual</v>
      </c>
      <c r="S33" s="376" t="str">
        <f t="shared" si="4"/>
        <v>FCCS_YTD_Input</v>
      </c>
      <c r="T33" s="376" t="s">
        <v>850</v>
      </c>
    </row>
    <row r="34" spans="2:20" x14ac:dyDescent="0.3">
      <c r="B34" s="373" t="s">
        <v>975</v>
      </c>
      <c r="C34" s="374" t="s">
        <v>407</v>
      </c>
      <c r="D34" s="375" t="str">
        <f>[2]!HsSetValue(E34,"FCC","Scenario#"&amp;R34&amp;";Years#"&amp;J34&amp;";Period#"&amp;I34&amp;";View#"&amp;S34&amp;";Entity#"&amp;H34&amp;";Data Source#"&amp;K34&amp;";Account#"&amp;F34&amp;";Intercompany#"&amp;L34&amp;";Movement#"&amp;Q34&amp;";Consolidation#"&amp;T34&amp;";Custom1#"&amp;M34&amp;";Custom2#"&amp;N34&amp;";Custom3#"&amp;O34&amp;";Custom4#"&amp;P34&amp;"")</f>
        <v>#Invalid Syntax</v>
      </c>
      <c r="E34" s="375">
        <f>SUMIF('Investment Analysis'!$E$22:$E$69,'FCC Investments - Load Tab'!C34,'Investment Analysis'!$H$22:$H$69)</f>
        <v>0</v>
      </c>
      <c r="F34" s="376" t="s">
        <v>585</v>
      </c>
      <c r="G34" s="374" t="s">
        <v>1008</v>
      </c>
      <c r="H34" s="378" t="e">
        <f t="shared" si="5"/>
        <v>#N/A</v>
      </c>
      <c r="I34" s="378" t="str">
        <f t="shared" si="5"/>
        <v>Jun</v>
      </c>
      <c r="J34" s="376" t="str">
        <f t="shared" si="5"/>
        <v>FY25</v>
      </c>
      <c r="K34" s="376" t="str">
        <f t="shared" si="5"/>
        <v>FCCS_Other Data</v>
      </c>
      <c r="L34" s="376" t="str">
        <f t="shared" si="5"/>
        <v>FCCS_No Intercompany</v>
      </c>
      <c r="M34" s="376" t="s">
        <v>845</v>
      </c>
      <c r="N34" s="376" t="s">
        <v>846</v>
      </c>
      <c r="O34" s="376" t="str">
        <f t="shared" si="1"/>
        <v>FMV</v>
      </c>
      <c r="P34" s="376" t="s">
        <v>581</v>
      </c>
      <c r="Q34" s="376" t="str">
        <f t="shared" si="3"/>
        <v>FCCS_ClosingBalance_Input</v>
      </c>
      <c r="R34" s="376" t="str">
        <f t="shared" si="4"/>
        <v>Actual</v>
      </c>
      <c r="S34" s="376" t="str">
        <f t="shared" si="4"/>
        <v>FCCS_YTD_Input</v>
      </c>
      <c r="T34" s="376" t="s">
        <v>850</v>
      </c>
    </row>
    <row r="35" spans="2:20" ht="14.85" customHeight="1" x14ac:dyDescent="0.3">
      <c r="B35" s="373" t="s">
        <v>975</v>
      </c>
      <c r="C35" s="374" t="s">
        <v>922</v>
      </c>
      <c r="D35" s="375" t="str">
        <f>[2]!HsSetValue(E35,"FCC","Scenario#"&amp;R35&amp;";Years#"&amp;J35&amp;";Period#"&amp;I35&amp;";View#"&amp;S35&amp;";Entity#"&amp;H35&amp;";Data Source#"&amp;K35&amp;";Account#"&amp;F35&amp;";Intercompany#"&amp;L35&amp;";Movement#"&amp;Q35&amp;";Consolidation#"&amp;T35&amp;";Custom1#"&amp;M35&amp;";Custom2#"&amp;N35&amp;";Custom3#"&amp;O35&amp;";Custom4#"&amp;P35&amp;"")</f>
        <v>#Invalid Syntax</v>
      </c>
      <c r="E35" s="375">
        <f>SUMIF('Investment Analysis'!$E$22:$E$69,'FCC Investments - Load Tab'!C35,'Investment Analysis'!$H$22:$H$69)</f>
        <v>0</v>
      </c>
      <c r="F35" s="376" t="s">
        <v>585</v>
      </c>
      <c r="G35" s="374" t="s">
        <v>1009</v>
      </c>
      <c r="H35" s="378" t="e">
        <f t="shared" si="5"/>
        <v>#N/A</v>
      </c>
      <c r="I35" s="378" t="str">
        <f t="shared" si="5"/>
        <v>Jun</v>
      </c>
      <c r="J35" s="376" t="str">
        <f t="shared" si="5"/>
        <v>FY25</v>
      </c>
      <c r="K35" s="376" t="str">
        <f t="shared" si="5"/>
        <v>FCCS_Other Data</v>
      </c>
      <c r="L35" s="376" t="str">
        <f t="shared" si="5"/>
        <v>FCCS_No Intercompany</v>
      </c>
      <c r="M35" s="376" t="s">
        <v>845</v>
      </c>
      <c r="N35" s="376" t="s">
        <v>846</v>
      </c>
      <c r="O35" s="376" t="str">
        <f t="shared" si="1"/>
        <v>FMV</v>
      </c>
      <c r="P35" s="376" t="s">
        <v>582</v>
      </c>
      <c r="Q35" s="376" t="str">
        <f t="shared" si="3"/>
        <v>FCCS_ClosingBalance_Input</v>
      </c>
      <c r="R35" s="376" t="str">
        <f t="shared" si="4"/>
        <v>Actual</v>
      </c>
      <c r="S35" s="376" t="str">
        <f t="shared" si="4"/>
        <v>FCCS_YTD_Input</v>
      </c>
      <c r="T35" s="376" t="s">
        <v>850</v>
      </c>
    </row>
    <row r="36" spans="2:20" ht="14.85" customHeight="1" x14ac:dyDescent="0.3">
      <c r="B36" s="373" t="s">
        <v>975</v>
      </c>
      <c r="C36" s="374" t="s">
        <v>895</v>
      </c>
      <c r="D36" s="375" t="str">
        <f>[2]!HsSetValue(E36,"FCC","Scenario#"&amp;R36&amp;";Years#"&amp;J36&amp;";Period#"&amp;I36&amp;";View#"&amp;S36&amp;";Entity#"&amp;H36&amp;";Data Source#"&amp;K36&amp;";Account#"&amp;F36&amp;";Intercompany#"&amp;L36&amp;";Movement#"&amp;Q36&amp;";Consolidation#"&amp;T36&amp;";Custom1#"&amp;M36&amp;";Custom2#"&amp;N36&amp;";Custom3#"&amp;O36&amp;";Custom4#"&amp;P36&amp;"")</f>
        <v>#Invalid Syntax</v>
      </c>
      <c r="E36" s="375">
        <f>SUMIF('Investment Analysis'!$E$22:$E$69,'FCC Investments - Load Tab'!C36,'Investment Analysis'!$H$22:$H$69)</f>
        <v>0</v>
      </c>
      <c r="F36" s="376" t="s">
        <v>585</v>
      </c>
      <c r="G36" s="374" t="s">
        <v>1010</v>
      </c>
      <c r="H36" s="378" t="e">
        <f t="shared" si="5"/>
        <v>#N/A</v>
      </c>
      <c r="I36" s="378" t="str">
        <f t="shared" si="5"/>
        <v>Jun</v>
      </c>
      <c r="J36" s="376" t="str">
        <f t="shared" si="5"/>
        <v>FY25</v>
      </c>
      <c r="K36" s="376" t="str">
        <f t="shared" si="5"/>
        <v>FCCS_Other Data</v>
      </c>
      <c r="L36" s="376" t="str">
        <f t="shared" si="5"/>
        <v>FCCS_No Intercompany</v>
      </c>
      <c r="M36" s="376" t="s">
        <v>845</v>
      </c>
      <c r="N36" s="376" t="s">
        <v>846</v>
      </c>
      <c r="O36" s="376" t="str">
        <f t="shared" si="1"/>
        <v>FMV</v>
      </c>
      <c r="P36" s="376" t="s">
        <v>583</v>
      </c>
      <c r="Q36" s="376" t="str">
        <f t="shared" si="3"/>
        <v>FCCS_ClosingBalance_Input</v>
      </c>
      <c r="R36" s="376" t="str">
        <f t="shared" si="4"/>
        <v>Actual</v>
      </c>
      <c r="S36" s="376" t="str">
        <f t="shared" si="4"/>
        <v>FCCS_YTD_Input</v>
      </c>
      <c r="T36" s="376" t="s">
        <v>850</v>
      </c>
    </row>
    <row r="37" spans="2:20" ht="14.85" customHeight="1" x14ac:dyDescent="0.3">
      <c r="B37" s="373" t="s">
        <v>975</v>
      </c>
      <c r="C37" s="374" t="s">
        <v>896</v>
      </c>
      <c r="D37" s="375" t="str">
        <f>[2]!HsSetValue(E37,"FCC","Scenario#"&amp;R37&amp;";Years#"&amp;J37&amp;";Period#"&amp;I37&amp;";View#"&amp;S37&amp;";Entity#"&amp;H37&amp;";Data Source#"&amp;K37&amp;";Account#"&amp;F37&amp;";Intercompany#"&amp;L37&amp;";Movement#"&amp;Q37&amp;";Consolidation#"&amp;T37&amp;";Custom1#"&amp;M37&amp;";Custom2#"&amp;N37&amp;";Custom3#"&amp;O37&amp;";Custom4#"&amp;P37&amp;"")</f>
        <v>#Invalid Syntax</v>
      </c>
      <c r="E37" s="375">
        <f>SUMIF('Investment Analysis'!$E$22:$E$69,'FCC Investments - Load Tab'!C37,'Investment Analysis'!$H$22:$H$69)</f>
        <v>0</v>
      </c>
      <c r="F37" s="376" t="s">
        <v>585</v>
      </c>
      <c r="G37" s="374" t="s">
        <v>1011</v>
      </c>
      <c r="H37" s="378" t="e">
        <f t="shared" si="5"/>
        <v>#N/A</v>
      </c>
      <c r="I37" s="378" t="str">
        <f t="shared" si="5"/>
        <v>Jun</v>
      </c>
      <c r="J37" s="376" t="str">
        <f t="shared" si="5"/>
        <v>FY25</v>
      </c>
      <c r="K37" s="376" t="str">
        <f t="shared" si="5"/>
        <v>FCCS_Other Data</v>
      </c>
      <c r="L37" s="376" t="str">
        <f t="shared" si="5"/>
        <v>FCCS_No Intercompany</v>
      </c>
      <c r="M37" s="376" t="s">
        <v>845</v>
      </c>
      <c r="N37" s="376" t="s">
        <v>846</v>
      </c>
      <c r="O37" s="376" t="str">
        <f t="shared" si="1"/>
        <v>FMV</v>
      </c>
      <c r="P37" s="376" t="s">
        <v>584</v>
      </c>
      <c r="Q37" s="376" t="str">
        <f t="shared" si="3"/>
        <v>FCCS_ClosingBalance_Input</v>
      </c>
      <c r="R37" s="376" t="str">
        <f t="shared" si="4"/>
        <v>Actual</v>
      </c>
      <c r="S37" s="376" t="str">
        <f t="shared" si="4"/>
        <v>FCCS_YTD_Input</v>
      </c>
      <c r="T37" s="376" t="s">
        <v>850</v>
      </c>
    </row>
    <row r="38" spans="2:20" ht="14.85" customHeight="1" x14ac:dyDescent="0.3">
      <c r="B38" s="373" t="s">
        <v>975</v>
      </c>
      <c r="C38" s="374" t="s">
        <v>958</v>
      </c>
      <c r="D38" s="375" t="str">
        <f>[2]!HsSetValue(E38,"FCC","Scenario#"&amp;R38&amp;";Years#"&amp;J38&amp;";Period#"&amp;I38&amp;";View#"&amp;S38&amp;";Entity#"&amp;H38&amp;";Data Source#"&amp;K38&amp;";Account#"&amp;F38&amp;";Intercompany#"&amp;L38&amp;";Movement#"&amp;Q38&amp;";Consolidation#"&amp;T38&amp;";Custom1#"&amp;M38&amp;";Custom2#"&amp;N38&amp;";Custom3#"&amp;O38&amp;";Custom4#"&amp;P38&amp;"")</f>
        <v>#Invalid Syntax</v>
      </c>
      <c r="E38" s="375">
        <f>SUMIF('Investment Analysis'!$E$22:$E$69,'FCC Investments - Load Tab'!C38,'Investment Analysis'!$H$22:$H$69)</f>
        <v>0</v>
      </c>
      <c r="F38" s="376" t="s">
        <v>585</v>
      </c>
      <c r="G38" s="374" t="s">
        <v>1012</v>
      </c>
      <c r="H38" s="378" t="e">
        <f t="shared" si="5"/>
        <v>#N/A</v>
      </c>
      <c r="I38" s="378" t="str">
        <f t="shared" si="5"/>
        <v>Jun</v>
      </c>
      <c r="J38" s="376" t="str">
        <f t="shared" si="5"/>
        <v>FY25</v>
      </c>
      <c r="K38" s="376" t="str">
        <f t="shared" si="5"/>
        <v>FCCS_Other Data</v>
      </c>
      <c r="L38" s="376" t="str">
        <f t="shared" si="5"/>
        <v>FCCS_No Intercompany</v>
      </c>
      <c r="M38" s="376" t="s">
        <v>845</v>
      </c>
      <c r="N38" s="376" t="s">
        <v>846</v>
      </c>
      <c r="O38" s="376" t="str">
        <f t="shared" si="1"/>
        <v>FMV</v>
      </c>
      <c r="P38" s="376" t="s">
        <v>881</v>
      </c>
      <c r="Q38" s="376" t="str">
        <f t="shared" si="3"/>
        <v>FCCS_ClosingBalance_Input</v>
      </c>
      <c r="R38" s="376" t="str">
        <f t="shared" si="4"/>
        <v>Actual</v>
      </c>
      <c r="S38" s="376" t="str">
        <f t="shared" si="4"/>
        <v>FCCS_YTD_Input</v>
      </c>
      <c r="T38" s="376" t="s">
        <v>850</v>
      </c>
    </row>
    <row r="39" spans="2:20" ht="14.85" customHeight="1" x14ac:dyDescent="0.3">
      <c r="B39" s="373" t="s">
        <v>975</v>
      </c>
      <c r="C39" s="374" t="s">
        <v>959</v>
      </c>
      <c r="D39" s="375" t="str">
        <f>[2]!HsSetValue(E39,"FCC","Scenario#"&amp;R39&amp;";Years#"&amp;J39&amp;";Period#"&amp;I39&amp;";View#"&amp;S39&amp;";Entity#"&amp;H39&amp;";Data Source#"&amp;K39&amp;";Account#"&amp;F39&amp;";Intercompany#"&amp;L39&amp;";Movement#"&amp;Q39&amp;";Consolidation#"&amp;T39&amp;";Custom1#"&amp;M39&amp;";Custom2#"&amp;N39&amp;";Custom3#"&amp;O39&amp;";Custom4#"&amp;P39&amp;"")</f>
        <v>#Invalid Syntax</v>
      </c>
      <c r="E39" s="375">
        <f>SUMIF('Investment Analysis'!$E$22:$E$69,'FCC Investments - Load Tab'!C39,'Investment Analysis'!$H$22:$H$69)</f>
        <v>0</v>
      </c>
      <c r="F39" s="376" t="s">
        <v>585</v>
      </c>
      <c r="G39" s="374" t="s">
        <v>1013</v>
      </c>
      <c r="H39" s="378" t="e">
        <f t="shared" ref="H39:L39" si="6">+H$2</f>
        <v>#N/A</v>
      </c>
      <c r="I39" s="378" t="str">
        <f t="shared" si="6"/>
        <v>Jun</v>
      </c>
      <c r="J39" s="376" t="str">
        <f t="shared" si="6"/>
        <v>FY25</v>
      </c>
      <c r="K39" s="376" t="str">
        <f t="shared" si="6"/>
        <v>FCCS_Other Data</v>
      </c>
      <c r="L39" s="376" t="str">
        <f t="shared" si="6"/>
        <v>FCCS_No Intercompany</v>
      </c>
      <c r="M39" s="376" t="s">
        <v>845</v>
      </c>
      <c r="N39" s="376" t="s">
        <v>846</v>
      </c>
      <c r="O39" s="376" t="str">
        <f t="shared" si="1"/>
        <v>FMV</v>
      </c>
      <c r="P39" s="376" t="s">
        <v>882</v>
      </c>
      <c r="Q39" s="376" t="str">
        <f t="shared" si="3"/>
        <v>FCCS_ClosingBalance_Input</v>
      </c>
      <c r="R39" s="376" t="str">
        <f t="shared" ref="R39:S39" si="7">+R$2</f>
        <v>Actual</v>
      </c>
      <c r="S39" s="376" t="str">
        <f t="shared" si="7"/>
        <v>FCCS_YTD_Input</v>
      </c>
      <c r="T39" s="376" t="s">
        <v>850</v>
      </c>
    </row>
    <row r="40" spans="2:20" s="204" customFormat="1" x14ac:dyDescent="0.3">
      <c r="B40" s="180"/>
      <c r="C40" s="180"/>
      <c r="D40" s="180"/>
      <c r="E40" s="180"/>
      <c r="F40" s="180"/>
      <c r="G40" s="180"/>
      <c r="H40" s="200"/>
      <c r="I40" s="200"/>
      <c r="J40" s="180"/>
      <c r="K40" s="180"/>
      <c r="L40" s="180"/>
      <c r="M40" s="180"/>
      <c r="N40" s="180"/>
      <c r="O40" s="180"/>
      <c r="P40" s="180"/>
      <c r="Q40" s="180"/>
      <c r="R40" s="180"/>
      <c r="S40" s="180"/>
      <c r="T40" s="180"/>
    </row>
    <row r="41" spans="2:20" x14ac:dyDescent="0.3">
      <c r="B41" s="205" t="s">
        <v>669</v>
      </c>
      <c r="C41" s="205" t="s">
        <v>708</v>
      </c>
      <c r="D41" s="206" t="str">
        <f>[2]!HsSetValue(E41,"FCC","Scenario#"&amp;R41&amp;";Years#"&amp;J41&amp;";Period#"&amp;I41&amp;";View#"&amp;S41&amp;";Entity#"&amp;H41&amp;";Data Source#"&amp;K41&amp;";Account#"&amp;F41&amp;";Intercompany#"&amp;L41&amp;";Movement#"&amp;Q41&amp;";Consolidation#"&amp;T41&amp;";Custom1#"&amp;M41&amp;";Custom2#"&amp;N41&amp;";Custom3#"&amp;O41&amp;";Custom4#"&amp;P41&amp;"")</f>
        <v>#Invalid Syntax</v>
      </c>
      <c r="E41" s="206" t="e">
        <f>VLOOKUP('Investment Analysis'!$AN$16,'Investment Analysis'!$AN$22:$AN$69,1,TRUE)</f>
        <v>#N/A</v>
      </c>
      <c r="F41" s="207" t="s">
        <v>671</v>
      </c>
      <c r="G41" s="205" t="s">
        <v>708</v>
      </c>
      <c r="H41" s="208" t="e">
        <f t="shared" ref="H41:I41" si="8">+H$2</f>
        <v>#N/A</v>
      </c>
      <c r="I41" s="208" t="str">
        <f t="shared" si="8"/>
        <v>Jun</v>
      </c>
      <c r="J41" s="207" t="str">
        <f>+J27</f>
        <v>FY25</v>
      </c>
      <c r="K41" s="207" t="s">
        <v>843</v>
      </c>
      <c r="L41" s="207" t="s">
        <v>844</v>
      </c>
      <c r="M41" s="207" t="s">
        <v>845</v>
      </c>
      <c r="N41" s="207" t="s">
        <v>846</v>
      </c>
      <c r="O41" s="207" t="s">
        <v>738</v>
      </c>
      <c r="P41" s="207" t="s">
        <v>734</v>
      </c>
      <c r="Q41" s="207" t="str">
        <f t="shared" si="3"/>
        <v>FCCS_ClosingBalance_Input</v>
      </c>
      <c r="R41" s="207" t="s">
        <v>169</v>
      </c>
      <c r="S41" s="207" t="s">
        <v>848</v>
      </c>
      <c r="T41" s="207" t="s">
        <v>850</v>
      </c>
    </row>
    <row r="42" spans="2:20" x14ac:dyDescent="0.3">
      <c r="D42" s="209"/>
      <c r="E42" s="209"/>
      <c r="H42" s="262"/>
      <c r="I42" s="262"/>
    </row>
    <row r="43" spans="2:20" x14ac:dyDescent="0.3">
      <c r="B43" s="379" t="s">
        <v>670</v>
      </c>
      <c r="C43" s="379" t="s">
        <v>670</v>
      </c>
      <c r="D43" s="380" t="str">
        <f>[2]!HsSetValue(E43,"FCC","Scenario#"&amp;R43&amp;";Years#"&amp;J43&amp;";Period#"&amp;I43&amp;";View#"&amp;S43&amp;";Entity#"&amp;H43&amp;";Data Source#"&amp;K43&amp;";Account#"&amp;F43&amp;";Intercompany#"&amp;L43&amp;";Movement#"&amp;Q43&amp;";Consolidation#"&amp;T43&amp;";Custom1#"&amp;M43&amp;";Custom2#"&amp;N43&amp;";Custom3#"&amp;O43&amp;";Custom4#"&amp;P43&amp;"")</f>
        <v>#Invalid Syntax</v>
      </c>
      <c r="E43" s="380" t="e">
        <f>VLOOKUP('Investment Analysis'!$AN$16,'Investment Analysis'!$AP$22:$AP$69,1,TRUE)</f>
        <v>#N/A</v>
      </c>
      <c r="F43" s="369" t="s">
        <v>672</v>
      </c>
      <c r="G43" s="379" t="s">
        <v>670</v>
      </c>
      <c r="H43" s="370" t="e">
        <f t="shared" ref="H43:I43" si="9">+H$2</f>
        <v>#N/A</v>
      </c>
      <c r="I43" s="370" t="str">
        <f t="shared" si="9"/>
        <v>Jun</v>
      </c>
      <c r="J43" s="369" t="str">
        <f>+J41</f>
        <v>FY25</v>
      </c>
      <c r="K43" s="369" t="s">
        <v>843</v>
      </c>
      <c r="L43" s="369" t="s">
        <v>844</v>
      </c>
      <c r="M43" s="369" t="s">
        <v>845</v>
      </c>
      <c r="N43" s="369" t="s">
        <v>846</v>
      </c>
      <c r="O43" s="369" t="s">
        <v>739</v>
      </c>
      <c r="P43" s="369" t="s">
        <v>735</v>
      </c>
      <c r="Q43" s="369" t="str">
        <f t="shared" si="3"/>
        <v>FCCS_ClosingBalance_Input</v>
      </c>
      <c r="R43" s="369" t="s">
        <v>169</v>
      </c>
      <c r="S43" s="369" t="s">
        <v>848</v>
      </c>
      <c r="T43" s="369" t="s">
        <v>850</v>
      </c>
    </row>
    <row r="44" spans="2:20" ht="15.6" customHeight="1" x14ac:dyDescent="0.3">
      <c r="D44" s="209"/>
      <c r="E44" s="209"/>
      <c r="H44" s="262"/>
      <c r="I44" s="262"/>
    </row>
    <row r="45" spans="2:20" x14ac:dyDescent="0.3">
      <c r="B45" s="364" t="s">
        <v>668</v>
      </c>
      <c r="C45" s="365" t="s">
        <v>418</v>
      </c>
      <c r="D45" s="366" t="str">
        <f>[2]!HsSetValue(E45,"FCC","Scenario#"&amp;R45&amp;";Years#"&amp;J45&amp;";Period#"&amp;I45&amp;";View#"&amp;S45&amp;";Entity#"&amp;H45&amp;";Data Source#"&amp;K45&amp;";Account#"&amp;F45&amp;";Intercompany#"&amp;L45&amp;";Movement#"&amp;Q45&amp;";Consolidation#"&amp;T45&amp;";Custom1#"&amp;M45&amp;";Custom2#"&amp;N45&amp;";Custom3#"&amp;O45&amp;";Custom4#"&amp;P45&amp;"")</f>
        <v>#Invalid Syntax</v>
      </c>
      <c r="E45" s="366">
        <f>SUMIF('Investment Analysis'!$E$22:$E$69,'FCC Investments - Load Tab'!C45,'Investment Analysis'!$K$22:$K$69)</f>
        <v>0</v>
      </c>
      <c r="F45" s="367" t="s">
        <v>673</v>
      </c>
      <c r="G45" s="367" t="s">
        <v>632</v>
      </c>
      <c r="H45" s="368" t="e">
        <f>+H$2</f>
        <v>#N/A</v>
      </c>
      <c r="I45" s="368" t="str">
        <f t="shared" ref="I45:I49" si="10">+I$2</f>
        <v>Jun</v>
      </c>
      <c r="J45" s="367" t="str">
        <f>+J$2</f>
        <v>FY25</v>
      </c>
      <c r="K45" s="367" t="s">
        <v>843</v>
      </c>
      <c r="L45" s="367" t="s">
        <v>844</v>
      </c>
      <c r="M45" s="367" t="s">
        <v>845</v>
      </c>
      <c r="N45" s="367" t="s">
        <v>846</v>
      </c>
      <c r="O45" s="367" t="s">
        <v>721</v>
      </c>
      <c r="P45" s="367" t="s">
        <v>555</v>
      </c>
      <c r="Q45" s="367" t="str">
        <f t="shared" si="3"/>
        <v>FCCS_ClosingBalance_Input</v>
      </c>
      <c r="R45" s="367" t="s">
        <v>169</v>
      </c>
      <c r="S45" s="367" t="s">
        <v>848</v>
      </c>
      <c r="T45" s="367" t="s">
        <v>850</v>
      </c>
    </row>
    <row r="46" spans="2:20" x14ac:dyDescent="0.3">
      <c r="B46" s="364" t="s">
        <v>668</v>
      </c>
      <c r="C46" s="365" t="s">
        <v>418</v>
      </c>
      <c r="D46" s="366" t="str">
        <f>[2]!HsSetValue(E46,"FCC","Scenario#"&amp;R46&amp;";Years#"&amp;J46&amp;";Period#"&amp;I46&amp;";View#"&amp;S46&amp;";Entity#"&amp;H46&amp;";Data Source#"&amp;K46&amp;";Account#"&amp;F46&amp;";Intercompany#"&amp;L46&amp;";Movement#"&amp;Q46&amp;";Consolidation#"&amp;T46&amp;";Custom1#"&amp;M46&amp;";Custom2#"&amp;N46&amp;";Custom3#"&amp;O46&amp;";Custom4#"&amp;P46&amp;"")</f>
        <v>#Invalid Syntax</v>
      </c>
      <c r="E46" s="366">
        <f>SUMIF('Investment Analysis'!$E$22:$E$69,'FCC Investments - Load Tab'!C45,'Investment Analysis'!$L$22:$L$69)</f>
        <v>0</v>
      </c>
      <c r="F46" s="367" t="s">
        <v>673</v>
      </c>
      <c r="G46" s="367" t="s">
        <v>632</v>
      </c>
      <c r="H46" s="368" t="e">
        <f>+H$2</f>
        <v>#N/A</v>
      </c>
      <c r="I46" s="368" t="str">
        <f t="shared" si="10"/>
        <v>Jun</v>
      </c>
      <c r="J46" s="367" t="str">
        <f>+J$2</f>
        <v>FY25</v>
      </c>
      <c r="K46" s="367" t="str">
        <f t="shared" ref="K46:N49" si="11">+K$2</f>
        <v>FCCS_Other Data</v>
      </c>
      <c r="L46" s="367" t="str">
        <f t="shared" si="11"/>
        <v>FCCS_No Intercompany</v>
      </c>
      <c r="M46" s="367" t="str">
        <f>+M$1</f>
        <v>No Custom1</v>
      </c>
      <c r="N46" s="367" t="str">
        <f t="shared" si="11"/>
        <v>No Custom2</v>
      </c>
      <c r="O46" s="367" t="s">
        <v>722</v>
      </c>
      <c r="P46" s="367" t="s">
        <v>555</v>
      </c>
      <c r="Q46" s="367" t="str">
        <f t="shared" si="3"/>
        <v>FCCS_ClosingBalance_Input</v>
      </c>
      <c r="R46" s="367" t="str">
        <f t="shared" ref="R46:S49" si="12">+R$2</f>
        <v>Actual</v>
      </c>
      <c r="S46" s="367" t="str">
        <f t="shared" si="12"/>
        <v>FCCS_YTD_Input</v>
      </c>
      <c r="T46" s="367" t="s">
        <v>850</v>
      </c>
    </row>
    <row r="47" spans="2:20" x14ac:dyDescent="0.3">
      <c r="B47" s="364" t="s">
        <v>668</v>
      </c>
      <c r="C47" s="365" t="s">
        <v>418</v>
      </c>
      <c r="D47" s="366" t="str">
        <f>[2]!HsSetValue(E47,"FCC","Scenario#"&amp;R47&amp;";Years#"&amp;J47&amp;";Period#"&amp;I47&amp;";View#"&amp;S47&amp;";Entity#"&amp;H47&amp;";Data Source#"&amp;K47&amp;";Account#"&amp;F47&amp;";Intercompany#"&amp;L47&amp;";Movement#"&amp;Q47&amp;";Consolidation#"&amp;T47&amp;";Custom1#"&amp;M47&amp;";Custom2#"&amp;N47&amp;";Custom3#"&amp;O47&amp;";Custom4#"&amp;P47&amp;"")</f>
        <v>#Invalid Syntax</v>
      </c>
      <c r="E47" s="366">
        <f>SUMIF('Investment Analysis'!$E$22:$E$69,'FCC Investments - Load Tab'!C45,'Investment Analysis'!$M$22:$M$69)</f>
        <v>0</v>
      </c>
      <c r="F47" s="367" t="s">
        <v>673</v>
      </c>
      <c r="G47" s="367" t="s">
        <v>632</v>
      </c>
      <c r="H47" s="368" t="e">
        <f>+H$2</f>
        <v>#N/A</v>
      </c>
      <c r="I47" s="368" t="str">
        <f t="shared" si="10"/>
        <v>Jun</v>
      </c>
      <c r="J47" s="367" t="str">
        <f>+J$2</f>
        <v>FY25</v>
      </c>
      <c r="K47" s="367" t="str">
        <f t="shared" si="11"/>
        <v>FCCS_Other Data</v>
      </c>
      <c r="L47" s="367" t="str">
        <f t="shared" si="11"/>
        <v>FCCS_No Intercompany</v>
      </c>
      <c r="M47" s="367" t="str">
        <f>+M$1</f>
        <v>No Custom1</v>
      </c>
      <c r="N47" s="367" t="str">
        <f t="shared" si="11"/>
        <v>No Custom2</v>
      </c>
      <c r="O47" s="367" t="s">
        <v>723</v>
      </c>
      <c r="P47" s="367" t="s">
        <v>555</v>
      </c>
      <c r="Q47" s="367" t="str">
        <f t="shared" si="3"/>
        <v>FCCS_ClosingBalance_Input</v>
      </c>
      <c r="R47" s="367" t="str">
        <f t="shared" si="12"/>
        <v>Actual</v>
      </c>
      <c r="S47" s="367" t="str">
        <f t="shared" si="12"/>
        <v>FCCS_YTD_Input</v>
      </c>
      <c r="T47" s="367" t="s">
        <v>850</v>
      </c>
    </row>
    <row r="48" spans="2:20" x14ac:dyDescent="0.3">
      <c r="B48" s="364" t="s">
        <v>668</v>
      </c>
      <c r="C48" s="365" t="s">
        <v>418</v>
      </c>
      <c r="D48" s="366" t="str">
        <f>[2]!HsSetValue(E48,"FCC","Scenario#"&amp;R48&amp;";Years#"&amp;J48&amp;";Period#"&amp;I48&amp;";View#"&amp;S48&amp;";Entity#"&amp;H48&amp;";Data Source#"&amp;K48&amp;";Account#"&amp;F48&amp;";Intercompany#"&amp;L48&amp;";Movement#"&amp;Q48&amp;";Consolidation#"&amp;T48&amp;";Custom1#"&amp;M48&amp;";Custom2#"&amp;N48&amp;";Custom3#"&amp;O48&amp;";Custom4#"&amp;P48&amp;"")</f>
        <v>#Invalid Syntax</v>
      </c>
      <c r="E48" s="366">
        <f>SUMIF('Investment Analysis'!$E$22:$E$69,'FCC Investments - Load Tab'!C48,'Investment Analysis'!$N$22:$N$69)</f>
        <v>0</v>
      </c>
      <c r="F48" s="367" t="s">
        <v>673</v>
      </c>
      <c r="G48" s="367" t="s">
        <v>632</v>
      </c>
      <c r="H48" s="368" t="e">
        <f>+H$2</f>
        <v>#N/A</v>
      </c>
      <c r="I48" s="368" t="str">
        <f t="shared" si="10"/>
        <v>Jun</v>
      </c>
      <c r="J48" s="367" t="str">
        <f>+J$2</f>
        <v>FY25</v>
      </c>
      <c r="K48" s="367" t="str">
        <f t="shared" si="11"/>
        <v>FCCS_Other Data</v>
      </c>
      <c r="L48" s="367" t="str">
        <f t="shared" si="11"/>
        <v>FCCS_No Intercompany</v>
      </c>
      <c r="M48" s="367" t="str">
        <f>+M$1</f>
        <v>No Custom1</v>
      </c>
      <c r="N48" s="367" t="str">
        <f t="shared" si="11"/>
        <v>No Custom2</v>
      </c>
      <c r="O48" s="367" t="s">
        <v>724</v>
      </c>
      <c r="P48" s="367" t="s">
        <v>555</v>
      </c>
      <c r="Q48" s="367" t="str">
        <f t="shared" si="3"/>
        <v>FCCS_ClosingBalance_Input</v>
      </c>
      <c r="R48" s="367" t="str">
        <f t="shared" si="12"/>
        <v>Actual</v>
      </c>
      <c r="S48" s="367" t="str">
        <f t="shared" si="12"/>
        <v>FCCS_YTD_Input</v>
      </c>
      <c r="T48" s="367" t="s">
        <v>850</v>
      </c>
    </row>
    <row r="49" spans="2:20" x14ac:dyDescent="0.3">
      <c r="B49" s="364" t="s">
        <v>668</v>
      </c>
      <c r="C49" s="365" t="s">
        <v>418</v>
      </c>
      <c r="D49" s="366" t="str">
        <f>[2]!HsSetValue(E49,"FCC","Scenario#"&amp;R49&amp;";Years#"&amp;J49&amp;";Period#"&amp;I49&amp;";View#"&amp;S49&amp;";Entity#"&amp;H49&amp;";Data Source#"&amp;K49&amp;";Account#"&amp;F49&amp;";Intercompany#"&amp;L49&amp;";Movement#"&amp;Q49&amp;";Consolidation#"&amp;T49&amp;";Custom1#"&amp;M49&amp;";Custom2#"&amp;N49&amp;";Custom3#"&amp;O49&amp;";Custom4#"&amp;P49&amp;"")</f>
        <v>#Invalid Syntax</v>
      </c>
      <c r="E49" s="366">
        <f>SUMIF('Investment Analysis'!$E$2:$E$69,'FCC Investments - Load Tab'!C49,'Investment Analysis'!$O$2:$O$69)</f>
        <v>0</v>
      </c>
      <c r="F49" s="367" t="s">
        <v>673</v>
      </c>
      <c r="G49" s="367" t="s">
        <v>632</v>
      </c>
      <c r="H49" s="368" t="e">
        <f>+H$2</f>
        <v>#N/A</v>
      </c>
      <c r="I49" s="368" t="str">
        <f t="shared" si="10"/>
        <v>Jun</v>
      </c>
      <c r="J49" s="367" t="str">
        <f>+J$2</f>
        <v>FY25</v>
      </c>
      <c r="K49" s="367" t="str">
        <f t="shared" si="11"/>
        <v>FCCS_Other Data</v>
      </c>
      <c r="L49" s="367" t="str">
        <f t="shared" si="11"/>
        <v>FCCS_No Intercompany</v>
      </c>
      <c r="M49" s="367" t="str">
        <f>+M$1</f>
        <v>No Custom1</v>
      </c>
      <c r="N49" s="367" t="str">
        <f t="shared" si="11"/>
        <v>No Custom2</v>
      </c>
      <c r="O49" s="367" t="s">
        <v>725</v>
      </c>
      <c r="P49" s="367" t="s">
        <v>555</v>
      </c>
      <c r="Q49" s="367" t="str">
        <f t="shared" si="3"/>
        <v>FCCS_ClosingBalance_Input</v>
      </c>
      <c r="R49" s="367" t="str">
        <f t="shared" si="12"/>
        <v>Actual</v>
      </c>
      <c r="S49" s="367" t="str">
        <f t="shared" si="12"/>
        <v>FCCS_YTD_Input</v>
      </c>
      <c r="T49" s="367" t="s">
        <v>850</v>
      </c>
    </row>
    <row r="50" spans="2:20" x14ac:dyDescent="0.3">
      <c r="B50" s="210"/>
      <c r="C50" s="211"/>
      <c r="D50" s="212"/>
      <c r="E50" s="212"/>
    </row>
    <row r="51" spans="2:20" x14ac:dyDescent="0.3">
      <c r="B51" s="214" t="s">
        <v>667</v>
      </c>
      <c r="C51" s="215" t="s">
        <v>418</v>
      </c>
      <c r="D51" s="216" t="str">
        <f>[2]!HsSetValue(E51,"FCC","Scenario#"&amp;R51&amp;";Years#"&amp;J51&amp;";Period#"&amp;I51&amp;";View#"&amp;S51&amp;";Entity#"&amp;H51&amp;";Data Source#"&amp;K51&amp;";Account#"&amp;F51&amp;";Intercompany#"&amp;L51&amp;";Movement#"&amp;Q51&amp;";Consolidation#"&amp;T51&amp;";Custom1#"&amp;M51&amp;";Custom2#"&amp;N51&amp;";Custom3#"&amp;O51&amp;";Custom4#"&amp;P51&amp;"")</f>
        <v>#Invalid Syntax</v>
      </c>
      <c r="E51" s="216">
        <f>SUMIFS('Investment Analysis'!$H$22:$H$69,'Investment Analysis'!$E$22:$E$69,"Asset-backed Securities-Domestic",'Investment Analysis'!$AB$22:$AB$69,"10")</f>
        <v>0</v>
      </c>
      <c r="F51" s="217" t="s">
        <v>674</v>
      </c>
      <c r="G51" s="217" t="s">
        <v>1045</v>
      </c>
      <c r="H51" s="218" t="e">
        <f t="shared" ref="H51:N64" si="13">+H$2</f>
        <v>#N/A</v>
      </c>
      <c r="I51" s="218" t="str">
        <f t="shared" si="13"/>
        <v>Jun</v>
      </c>
      <c r="J51" s="217" t="str">
        <f t="shared" si="13"/>
        <v>FY25</v>
      </c>
      <c r="K51" s="217" t="str">
        <f t="shared" si="13"/>
        <v>FCCS_Other Data</v>
      </c>
      <c r="L51" s="217" t="str">
        <f t="shared" si="13"/>
        <v>FCCS_No Intercompany</v>
      </c>
      <c r="M51" s="217" t="str">
        <f t="shared" ref="M51:M64" si="14">+M$1</f>
        <v>No Custom1</v>
      </c>
      <c r="N51" s="217" t="str">
        <f t="shared" si="13"/>
        <v>No Custom2</v>
      </c>
      <c r="O51" s="217" t="s">
        <v>433</v>
      </c>
      <c r="P51" s="217" t="s">
        <v>555</v>
      </c>
      <c r="Q51" s="217" t="str">
        <f t="shared" si="3"/>
        <v>FCCS_ClosingBalance_Input</v>
      </c>
      <c r="R51" s="217" t="str">
        <f t="shared" ref="R51:S64" si="15">+R$2</f>
        <v>Actual</v>
      </c>
      <c r="S51" s="217" t="str">
        <f t="shared" si="15"/>
        <v>FCCS_YTD_Input</v>
      </c>
      <c r="T51" s="217" t="s">
        <v>850</v>
      </c>
    </row>
    <row r="52" spans="2:20" x14ac:dyDescent="0.3">
      <c r="B52" s="214" t="s">
        <v>667</v>
      </c>
      <c r="C52" s="215" t="s">
        <v>418</v>
      </c>
      <c r="D52" s="216" t="str">
        <f>[2]!HsSetValue(E52,"FCC","Scenario#"&amp;R52&amp;";Years#"&amp;J52&amp;";Period#"&amp;I52&amp;";View#"&amp;S52&amp;";Entity#"&amp;H52&amp;";Data Source#"&amp;K52&amp;";Account#"&amp;F52&amp;";Intercompany#"&amp;L52&amp;";Movement#"&amp;Q52&amp;";Consolidation#"&amp;T52&amp;";Custom1#"&amp;M52&amp;";Custom2#"&amp;N52&amp;";Custom3#"&amp;O52&amp;";Custom4#"&amp;P52&amp;"")</f>
        <v>#Invalid Syntax</v>
      </c>
      <c r="E52" s="216">
        <f>SUMIFS('Investment Analysis'!$H$22:$H$69,'Investment Analysis'!$E$22:$E$69,"Asset-backed Securities-Domestic",'Investment Analysis'!$AB$22:$AB$69,"9")</f>
        <v>0</v>
      </c>
      <c r="F52" s="217" t="s">
        <v>674</v>
      </c>
      <c r="G52" s="217" t="s">
        <v>1045</v>
      </c>
      <c r="H52" s="218" t="e">
        <f t="shared" si="13"/>
        <v>#N/A</v>
      </c>
      <c r="I52" s="218" t="str">
        <f t="shared" si="13"/>
        <v>Jun</v>
      </c>
      <c r="J52" s="217" t="str">
        <f t="shared" si="13"/>
        <v>FY25</v>
      </c>
      <c r="K52" s="217" t="str">
        <f t="shared" si="13"/>
        <v>FCCS_Other Data</v>
      </c>
      <c r="L52" s="217" t="str">
        <f t="shared" si="13"/>
        <v>FCCS_No Intercompany</v>
      </c>
      <c r="M52" s="217" t="str">
        <f t="shared" si="14"/>
        <v>No Custom1</v>
      </c>
      <c r="N52" s="217" t="str">
        <f t="shared" si="13"/>
        <v>No Custom2</v>
      </c>
      <c r="O52" s="217" t="s">
        <v>596</v>
      </c>
      <c r="P52" s="217" t="s">
        <v>555</v>
      </c>
      <c r="Q52" s="217" t="str">
        <f t="shared" si="3"/>
        <v>FCCS_ClosingBalance_Input</v>
      </c>
      <c r="R52" s="217" t="str">
        <f t="shared" si="15"/>
        <v>Actual</v>
      </c>
      <c r="S52" s="217" t="str">
        <f t="shared" si="15"/>
        <v>FCCS_YTD_Input</v>
      </c>
      <c r="T52" s="217" t="s">
        <v>850</v>
      </c>
    </row>
    <row r="53" spans="2:20" x14ac:dyDescent="0.3">
      <c r="B53" s="214" t="s">
        <v>667</v>
      </c>
      <c r="C53" s="215" t="s">
        <v>418</v>
      </c>
      <c r="D53" s="216" t="str">
        <f>[2]!HsSetValue(E53,"FCC","Scenario#"&amp;R53&amp;";Years#"&amp;J53&amp;";Period#"&amp;I53&amp;";View#"&amp;S53&amp;";Entity#"&amp;H53&amp;";Data Source#"&amp;K53&amp;";Account#"&amp;F53&amp;";Intercompany#"&amp;L53&amp;";Movement#"&amp;Q53&amp;";Consolidation#"&amp;T53&amp;";Custom1#"&amp;M53&amp;";Custom2#"&amp;N53&amp;";Custom3#"&amp;O53&amp;";Custom4#"&amp;P53&amp;"")</f>
        <v>#Invalid Syntax</v>
      </c>
      <c r="E53" s="216">
        <f>SUMIFS('Investment Analysis'!$H$22:$H$69,'Investment Analysis'!$E$22:$E$69,"Asset-backed Securities-Domestic",'Investment Analysis'!$AB$22:$AB$69,"8")</f>
        <v>0</v>
      </c>
      <c r="F53" s="217" t="s">
        <v>674</v>
      </c>
      <c r="G53" s="217" t="s">
        <v>1045</v>
      </c>
      <c r="H53" s="218" t="e">
        <f t="shared" si="13"/>
        <v>#N/A</v>
      </c>
      <c r="I53" s="218" t="str">
        <f t="shared" si="13"/>
        <v>Jun</v>
      </c>
      <c r="J53" s="217" t="str">
        <f t="shared" si="13"/>
        <v>FY25</v>
      </c>
      <c r="K53" s="217" t="str">
        <f t="shared" si="13"/>
        <v>FCCS_Other Data</v>
      </c>
      <c r="L53" s="217" t="str">
        <f t="shared" si="13"/>
        <v>FCCS_No Intercompany</v>
      </c>
      <c r="M53" s="217" t="str">
        <f t="shared" si="14"/>
        <v>No Custom1</v>
      </c>
      <c r="N53" s="217" t="str">
        <f t="shared" si="13"/>
        <v>No Custom2</v>
      </c>
      <c r="O53" s="217" t="s">
        <v>61</v>
      </c>
      <c r="P53" s="217" t="s">
        <v>555</v>
      </c>
      <c r="Q53" s="217" t="str">
        <f t="shared" si="3"/>
        <v>FCCS_ClosingBalance_Input</v>
      </c>
      <c r="R53" s="217" t="str">
        <f t="shared" si="15"/>
        <v>Actual</v>
      </c>
      <c r="S53" s="217" t="str">
        <f t="shared" si="15"/>
        <v>FCCS_YTD_Input</v>
      </c>
      <c r="T53" s="217" t="s">
        <v>850</v>
      </c>
    </row>
    <row r="54" spans="2:20" x14ac:dyDescent="0.3">
      <c r="B54" s="214" t="s">
        <v>667</v>
      </c>
      <c r="C54" s="215" t="s">
        <v>418</v>
      </c>
      <c r="D54" s="216" t="str">
        <f>[2]!HsSetValue(E54,"FCC","Scenario#"&amp;R54&amp;";Years#"&amp;J54&amp;";Period#"&amp;I54&amp;";View#"&amp;S54&amp;";Entity#"&amp;H54&amp;";Data Source#"&amp;K54&amp;";Account#"&amp;F54&amp;";Intercompany#"&amp;L54&amp;";Movement#"&amp;Q54&amp;";Consolidation#"&amp;T54&amp;";Custom1#"&amp;M54&amp;";Custom2#"&amp;N54&amp;";Custom3#"&amp;O54&amp;";Custom4#"&amp;P54&amp;"")</f>
        <v>#Invalid Syntax</v>
      </c>
      <c r="E54" s="216">
        <f>SUMIFS('Investment Analysis'!$H$22:$H$69,'Investment Analysis'!$E$22:$E$69,"Asset-backed Securities-Domestic",'Investment Analysis'!$AB$22:$AB$69,"7")</f>
        <v>0</v>
      </c>
      <c r="F54" s="217" t="s">
        <v>674</v>
      </c>
      <c r="G54" s="217" t="s">
        <v>1045</v>
      </c>
      <c r="H54" s="218" t="e">
        <f t="shared" si="13"/>
        <v>#N/A</v>
      </c>
      <c r="I54" s="218" t="str">
        <f t="shared" si="13"/>
        <v>Jun</v>
      </c>
      <c r="J54" s="217" t="str">
        <f t="shared" si="13"/>
        <v>FY25</v>
      </c>
      <c r="K54" s="217" t="str">
        <f t="shared" si="13"/>
        <v>FCCS_Other Data</v>
      </c>
      <c r="L54" s="217" t="str">
        <f t="shared" si="13"/>
        <v>FCCS_No Intercompany</v>
      </c>
      <c r="M54" s="217" t="str">
        <f t="shared" si="14"/>
        <v>No Custom1</v>
      </c>
      <c r="N54" s="217" t="str">
        <f t="shared" si="13"/>
        <v>No Custom2</v>
      </c>
      <c r="O54" s="217" t="s">
        <v>62</v>
      </c>
      <c r="P54" s="217" t="s">
        <v>555</v>
      </c>
      <c r="Q54" s="217" t="str">
        <f t="shared" si="3"/>
        <v>FCCS_ClosingBalance_Input</v>
      </c>
      <c r="R54" s="217" t="str">
        <f t="shared" si="15"/>
        <v>Actual</v>
      </c>
      <c r="S54" s="217" t="str">
        <f t="shared" si="15"/>
        <v>FCCS_YTD_Input</v>
      </c>
      <c r="T54" s="217" t="s">
        <v>850</v>
      </c>
    </row>
    <row r="55" spans="2:20" x14ac:dyDescent="0.3">
      <c r="B55" s="214" t="s">
        <v>667</v>
      </c>
      <c r="C55" s="215" t="s">
        <v>418</v>
      </c>
      <c r="D55" s="216" t="str">
        <f>[2]!HsSetValue(E55,"FCC","Scenario#"&amp;R55&amp;";Years#"&amp;J55&amp;";Period#"&amp;I55&amp;";View#"&amp;S55&amp;";Entity#"&amp;H55&amp;";Data Source#"&amp;K55&amp;";Account#"&amp;F55&amp;";Intercompany#"&amp;L55&amp;";Movement#"&amp;Q55&amp;";Consolidation#"&amp;T55&amp;";Custom1#"&amp;M55&amp;";Custom2#"&amp;N55&amp;";Custom3#"&amp;O55&amp;";Custom4#"&amp;P55&amp;"")</f>
        <v>#Invalid Syntax</v>
      </c>
      <c r="E55" s="216">
        <f>SUMIFS('Investment Analysis'!$H$22:$H$69,'Investment Analysis'!$E$22:$E$69,"Asset-backed Securities-Domestic",'Investment Analysis'!$AB$22:$AB$69,"6")</f>
        <v>0</v>
      </c>
      <c r="F55" s="217" t="s">
        <v>674</v>
      </c>
      <c r="G55" s="217" t="s">
        <v>1045</v>
      </c>
      <c r="H55" s="218" t="e">
        <f t="shared" si="13"/>
        <v>#N/A</v>
      </c>
      <c r="I55" s="218" t="str">
        <f t="shared" si="13"/>
        <v>Jun</v>
      </c>
      <c r="J55" s="217" t="str">
        <f t="shared" si="13"/>
        <v>FY25</v>
      </c>
      <c r="K55" s="217" t="str">
        <f t="shared" si="13"/>
        <v>FCCS_Other Data</v>
      </c>
      <c r="L55" s="217" t="str">
        <f t="shared" si="13"/>
        <v>FCCS_No Intercompany</v>
      </c>
      <c r="M55" s="217" t="str">
        <f t="shared" si="14"/>
        <v>No Custom1</v>
      </c>
      <c r="N55" s="217" t="str">
        <f t="shared" si="13"/>
        <v>No Custom2</v>
      </c>
      <c r="O55" s="217" t="s">
        <v>436</v>
      </c>
      <c r="P55" s="217" t="s">
        <v>555</v>
      </c>
      <c r="Q55" s="217" t="str">
        <f t="shared" si="3"/>
        <v>FCCS_ClosingBalance_Input</v>
      </c>
      <c r="R55" s="217" t="str">
        <f t="shared" si="15"/>
        <v>Actual</v>
      </c>
      <c r="S55" s="217" t="str">
        <f t="shared" si="15"/>
        <v>FCCS_YTD_Input</v>
      </c>
      <c r="T55" s="217" t="s">
        <v>850</v>
      </c>
    </row>
    <row r="56" spans="2:20" x14ac:dyDescent="0.3">
      <c r="B56" s="214" t="s">
        <v>667</v>
      </c>
      <c r="C56" s="215" t="s">
        <v>418</v>
      </c>
      <c r="D56" s="216" t="str">
        <f>[2]!HsSetValue(E56,"FCC","Scenario#"&amp;R56&amp;";Years#"&amp;J56&amp;";Period#"&amp;I56&amp;";View#"&amp;S56&amp;";Entity#"&amp;H56&amp;";Data Source#"&amp;K56&amp;";Account#"&amp;F56&amp;";Intercompany#"&amp;L56&amp;";Movement#"&amp;Q56&amp;";Consolidation#"&amp;T56&amp;";Custom1#"&amp;M56&amp;";Custom2#"&amp;N56&amp;";Custom3#"&amp;O56&amp;";Custom4#"&amp;P56&amp;"")</f>
        <v>#Invalid Syntax</v>
      </c>
      <c r="E56" s="216">
        <f>SUMIFS('Investment Analysis'!$H$22:$H$69,'Investment Analysis'!$E$22:$E$69,"Asset-backed Securities-Domestic",'Investment Analysis'!$AB$22:$AB$69,"5")</f>
        <v>0</v>
      </c>
      <c r="F56" s="217" t="s">
        <v>674</v>
      </c>
      <c r="G56" s="217" t="s">
        <v>1045</v>
      </c>
      <c r="H56" s="218" t="e">
        <f t="shared" si="13"/>
        <v>#N/A</v>
      </c>
      <c r="I56" s="218" t="str">
        <f t="shared" si="13"/>
        <v>Jun</v>
      </c>
      <c r="J56" s="217" t="str">
        <f t="shared" si="13"/>
        <v>FY25</v>
      </c>
      <c r="K56" s="217" t="str">
        <f t="shared" si="13"/>
        <v>FCCS_Other Data</v>
      </c>
      <c r="L56" s="217" t="str">
        <f t="shared" si="13"/>
        <v>FCCS_No Intercompany</v>
      </c>
      <c r="M56" s="217" t="str">
        <f t="shared" si="14"/>
        <v>No Custom1</v>
      </c>
      <c r="N56" s="217" t="str">
        <f t="shared" si="13"/>
        <v>No Custom2</v>
      </c>
      <c r="O56" s="217" t="s">
        <v>434</v>
      </c>
      <c r="P56" s="217" t="s">
        <v>555</v>
      </c>
      <c r="Q56" s="217" t="str">
        <f t="shared" si="3"/>
        <v>FCCS_ClosingBalance_Input</v>
      </c>
      <c r="R56" s="217" t="str">
        <f t="shared" si="15"/>
        <v>Actual</v>
      </c>
      <c r="S56" s="217" t="str">
        <f t="shared" si="15"/>
        <v>FCCS_YTD_Input</v>
      </c>
      <c r="T56" s="217" t="s">
        <v>850</v>
      </c>
    </row>
    <row r="57" spans="2:20" x14ac:dyDescent="0.3">
      <c r="B57" s="214" t="s">
        <v>667</v>
      </c>
      <c r="C57" s="215" t="s">
        <v>418</v>
      </c>
      <c r="D57" s="216" t="str">
        <f>[2]!HsSetValue(E57,"FCC","Scenario#"&amp;R57&amp;";Years#"&amp;J57&amp;";Period#"&amp;I57&amp;";View#"&amp;S57&amp;";Entity#"&amp;H57&amp;";Data Source#"&amp;K57&amp;";Account#"&amp;F57&amp;";Intercompany#"&amp;L57&amp;";Movement#"&amp;Q57&amp;";Consolidation#"&amp;T57&amp;";Custom1#"&amp;M57&amp;";Custom2#"&amp;N57&amp;";Custom3#"&amp;O57&amp;";Custom4#"&amp;P57&amp;"")</f>
        <v>#Invalid Syntax</v>
      </c>
      <c r="E57" s="216">
        <f>SUMIFS('Investment Analysis'!$H$22:$H$69,'Investment Analysis'!$E$22:$E$69,"Asset-backed Securities-Domestic",'Investment Analysis'!$AB$22:$AB$69,"4")</f>
        <v>0</v>
      </c>
      <c r="F57" s="217" t="s">
        <v>674</v>
      </c>
      <c r="G57" s="217" t="s">
        <v>1045</v>
      </c>
      <c r="H57" s="218" t="e">
        <f t="shared" si="13"/>
        <v>#N/A</v>
      </c>
      <c r="I57" s="218" t="str">
        <f t="shared" si="13"/>
        <v>Jun</v>
      </c>
      <c r="J57" s="217" t="str">
        <f t="shared" si="13"/>
        <v>FY25</v>
      </c>
      <c r="K57" s="217" t="str">
        <f t="shared" si="13"/>
        <v>FCCS_Other Data</v>
      </c>
      <c r="L57" s="217" t="str">
        <f t="shared" si="13"/>
        <v>FCCS_No Intercompany</v>
      </c>
      <c r="M57" s="217" t="str">
        <f t="shared" si="14"/>
        <v>No Custom1</v>
      </c>
      <c r="N57" s="217" t="str">
        <f t="shared" si="13"/>
        <v>No Custom2</v>
      </c>
      <c r="O57" s="217" t="s">
        <v>63</v>
      </c>
      <c r="P57" s="217" t="s">
        <v>555</v>
      </c>
      <c r="Q57" s="217" t="str">
        <f t="shared" si="3"/>
        <v>FCCS_ClosingBalance_Input</v>
      </c>
      <c r="R57" s="217" t="str">
        <f t="shared" si="15"/>
        <v>Actual</v>
      </c>
      <c r="S57" s="217" t="str">
        <f t="shared" si="15"/>
        <v>FCCS_YTD_Input</v>
      </c>
      <c r="T57" s="217" t="s">
        <v>850</v>
      </c>
    </row>
    <row r="58" spans="2:20" x14ac:dyDescent="0.3">
      <c r="B58" s="214" t="s">
        <v>667</v>
      </c>
      <c r="C58" s="215" t="s">
        <v>418</v>
      </c>
      <c r="D58" s="216" t="str">
        <f>[2]!HsSetValue(E58,"FCC","Scenario#"&amp;R58&amp;";Years#"&amp;J58&amp;";Period#"&amp;I58&amp;";View#"&amp;S58&amp;";Entity#"&amp;H58&amp;";Data Source#"&amp;K58&amp;";Account#"&amp;F58&amp;";Intercompany#"&amp;L58&amp;";Movement#"&amp;Q58&amp;";Consolidation#"&amp;T58&amp;";Custom1#"&amp;M58&amp;";Custom2#"&amp;N58&amp;";Custom3#"&amp;O58&amp;";Custom4#"&amp;P58&amp;"")</f>
        <v>#Invalid Syntax</v>
      </c>
      <c r="E58" s="216">
        <f>SUMIFS('Investment Analysis'!$H$22:$H$69,'Investment Analysis'!$E$22:$E$69,"Asset-backed Securities-Domestic",'Investment Analysis'!$AB$22:$AB$69,"3")</f>
        <v>0</v>
      </c>
      <c r="F58" s="217" t="s">
        <v>674</v>
      </c>
      <c r="G58" s="217" t="s">
        <v>1045</v>
      </c>
      <c r="H58" s="218" t="e">
        <f t="shared" si="13"/>
        <v>#N/A</v>
      </c>
      <c r="I58" s="218" t="str">
        <f t="shared" si="13"/>
        <v>Jun</v>
      </c>
      <c r="J58" s="217" t="str">
        <f t="shared" si="13"/>
        <v>FY25</v>
      </c>
      <c r="K58" s="217" t="str">
        <f t="shared" si="13"/>
        <v>FCCS_Other Data</v>
      </c>
      <c r="L58" s="217" t="str">
        <f t="shared" si="13"/>
        <v>FCCS_No Intercompany</v>
      </c>
      <c r="M58" s="217" t="str">
        <f t="shared" si="14"/>
        <v>No Custom1</v>
      </c>
      <c r="N58" s="217" t="str">
        <f t="shared" si="13"/>
        <v>No Custom2</v>
      </c>
      <c r="O58" s="217" t="s">
        <v>622</v>
      </c>
      <c r="P58" s="217" t="s">
        <v>555</v>
      </c>
      <c r="Q58" s="217" t="str">
        <f t="shared" si="3"/>
        <v>FCCS_ClosingBalance_Input</v>
      </c>
      <c r="R58" s="217" t="str">
        <f t="shared" si="15"/>
        <v>Actual</v>
      </c>
      <c r="S58" s="217" t="str">
        <f t="shared" si="15"/>
        <v>FCCS_YTD_Input</v>
      </c>
      <c r="T58" s="217" t="s">
        <v>850</v>
      </c>
    </row>
    <row r="59" spans="2:20" x14ac:dyDescent="0.3">
      <c r="B59" s="214" t="s">
        <v>667</v>
      </c>
      <c r="C59" s="215" t="s">
        <v>418</v>
      </c>
      <c r="D59" s="216" t="str">
        <f>[2]!HsSetValue(E59,"FCC","Scenario#"&amp;R59&amp;";Years#"&amp;J59&amp;";Period#"&amp;I59&amp;";View#"&amp;S59&amp;";Entity#"&amp;H59&amp;";Data Source#"&amp;K59&amp;";Account#"&amp;F59&amp;";Intercompany#"&amp;L59&amp;";Movement#"&amp;Q59&amp;";Consolidation#"&amp;T59&amp;";Custom1#"&amp;M59&amp;";Custom2#"&amp;N59&amp;";Custom3#"&amp;O59&amp;";Custom4#"&amp;P59&amp;"")</f>
        <v>#Invalid Syntax</v>
      </c>
      <c r="E59" s="216">
        <f>SUMIFS('Investment Analysis'!$H$22:$H$69,'Investment Analysis'!$E$22:$E$69,"Asset-backed Securities-Domestic",'Investment Analysis'!$AB$22:$AB$69,"2")</f>
        <v>0</v>
      </c>
      <c r="F59" s="217" t="s">
        <v>674</v>
      </c>
      <c r="G59" s="217" t="s">
        <v>1045</v>
      </c>
      <c r="H59" s="218" t="e">
        <f t="shared" si="13"/>
        <v>#N/A</v>
      </c>
      <c r="I59" s="218" t="str">
        <f t="shared" si="13"/>
        <v>Jun</v>
      </c>
      <c r="J59" s="217" t="str">
        <f t="shared" si="13"/>
        <v>FY25</v>
      </c>
      <c r="K59" s="217" t="str">
        <f t="shared" si="13"/>
        <v>FCCS_Other Data</v>
      </c>
      <c r="L59" s="217" t="str">
        <f t="shared" si="13"/>
        <v>FCCS_No Intercompany</v>
      </c>
      <c r="M59" s="217" t="str">
        <f t="shared" si="14"/>
        <v>No Custom1</v>
      </c>
      <c r="N59" s="217" t="str">
        <f t="shared" si="13"/>
        <v>No Custom2</v>
      </c>
      <c r="O59" s="217" t="s">
        <v>618</v>
      </c>
      <c r="P59" s="217" t="s">
        <v>555</v>
      </c>
      <c r="Q59" s="217" t="str">
        <f t="shared" si="3"/>
        <v>FCCS_ClosingBalance_Input</v>
      </c>
      <c r="R59" s="217" t="str">
        <f t="shared" si="15"/>
        <v>Actual</v>
      </c>
      <c r="S59" s="217" t="str">
        <f t="shared" si="15"/>
        <v>FCCS_YTD_Input</v>
      </c>
      <c r="T59" s="217" t="s">
        <v>850</v>
      </c>
    </row>
    <row r="60" spans="2:20" x14ac:dyDescent="0.3">
      <c r="B60" s="214" t="s">
        <v>667</v>
      </c>
      <c r="C60" s="215" t="s">
        <v>418</v>
      </c>
      <c r="D60" s="216" t="str">
        <f>[2]!HsSetValue(E60,"FCC","Scenario#"&amp;R60&amp;";Years#"&amp;J60&amp;";Period#"&amp;I60&amp;";View#"&amp;S60&amp;";Entity#"&amp;H60&amp;";Data Source#"&amp;K60&amp;";Account#"&amp;F60&amp;";Intercompany#"&amp;L60&amp;";Movement#"&amp;Q60&amp;";Consolidation#"&amp;T60&amp;";Custom1#"&amp;M60&amp;";Custom2#"&amp;N60&amp;";Custom3#"&amp;O60&amp;";Custom4#"&amp;P60&amp;"")</f>
        <v>#Invalid Syntax</v>
      </c>
      <c r="E60" s="216">
        <f>SUMIFS('Investment Analysis'!$H$22:$H$69,'Investment Analysis'!$E$22:$E$69,"Asset-backed Securities-Domestic",'Investment Analysis'!$AB$22:$AB$69,"1")</f>
        <v>0</v>
      </c>
      <c r="F60" s="217" t="s">
        <v>674</v>
      </c>
      <c r="G60" s="217" t="s">
        <v>1045</v>
      </c>
      <c r="H60" s="218" t="e">
        <f t="shared" si="13"/>
        <v>#N/A</v>
      </c>
      <c r="I60" s="218" t="str">
        <f t="shared" si="13"/>
        <v>Jun</v>
      </c>
      <c r="J60" s="217" t="str">
        <f t="shared" si="13"/>
        <v>FY25</v>
      </c>
      <c r="K60" s="217" t="str">
        <f t="shared" si="13"/>
        <v>FCCS_Other Data</v>
      </c>
      <c r="L60" s="217" t="str">
        <f t="shared" si="13"/>
        <v>FCCS_No Intercompany</v>
      </c>
      <c r="M60" s="217" t="str">
        <f t="shared" si="14"/>
        <v>No Custom1</v>
      </c>
      <c r="N60" s="217" t="str">
        <f t="shared" si="13"/>
        <v>No Custom2</v>
      </c>
      <c r="O60" s="217" t="s">
        <v>64</v>
      </c>
      <c r="P60" s="217" t="s">
        <v>555</v>
      </c>
      <c r="Q60" s="217" t="str">
        <f t="shared" si="3"/>
        <v>FCCS_ClosingBalance_Input</v>
      </c>
      <c r="R60" s="217" t="str">
        <f t="shared" si="15"/>
        <v>Actual</v>
      </c>
      <c r="S60" s="217" t="str">
        <f t="shared" si="15"/>
        <v>FCCS_YTD_Input</v>
      </c>
      <c r="T60" s="217" t="s">
        <v>850</v>
      </c>
    </row>
    <row r="61" spans="2:20" x14ac:dyDescent="0.3">
      <c r="B61" s="214" t="s">
        <v>667</v>
      </c>
      <c r="C61" s="215" t="s">
        <v>418</v>
      </c>
      <c r="D61" s="216" t="str">
        <f>[2]!HsSetValue(E61,"FCC","Scenario#"&amp;R61&amp;";Years#"&amp;J61&amp;";Period#"&amp;I61&amp;";View#"&amp;S61&amp;";Entity#"&amp;H61&amp;";Data Source#"&amp;K61&amp;";Account#"&amp;F61&amp;";Intercompany#"&amp;L61&amp;";Movement#"&amp;Q61&amp;";Consolidation#"&amp;T61&amp;";Custom1#"&amp;M61&amp;";Custom2#"&amp;N61&amp;";Custom3#"&amp;O61&amp;";Custom4#"&amp;P61&amp;"")</f>
        <v>#Invalid Syntax</v>
      </c>
      <c r="E61" s="216">
        <f>SUMIFS('Investment Analysis'!$H$22:$H$69,'Investment Analysis'!$E$22:$E$69,"Asset-backed Securities-Domestic",'Investment Analysis'!$AI$22:$AI$69,"16")</f>
        <v>0</v>
      </c>
      <c r="F61" s="217" t="s">
        <v>674</v>
      </c>
      <c r="G61" s="217" t="s">
        <v>1045</v>
      </c>
      <c r="H61" s="218" t="e">
        <f t="shared" si="13"/>
        <v>#N/A</v>
      </c>
      <c r="I61" s="218" t="str">
        <f t="shared" si="13"/>
        <v>Jun</v>
      </c>
      <c r="J61" s="217" t="str">
        <f t="shared" si="13"/>
        <v>FY25</v>
      </c>
      <c r="K61" s="217" t="str">
        <f t="shared" si="13"/>
        <v>FCCS_Other Data</v>
      </c>
      <c r="L61" s="217" t="str">
        <f t="shared" si="13"/>
        <v>FCCS_No Intercompany</v>
      </c>
      <c r="M61" s="217" t="str">
        <f t="shared" si="14"/>
        <v>No Custom1</v>
      </c>
      <c r="N61" s="217" t="str">
        <f t="shared" si="13"/>
        <v>No Custom2</v>
      </c>
      <c r="O61" s="217" t="s">
        <v>726</v>
      </c>
      <c r="P61" s="217" t="s">
        <v>555</v>
      </c>
      <c r="Q61" s="217" t="str">
        <f t="shared" si="3"/>
        <v>FCCS_ClosingBalance_Input</v>
      </c>
      <c r="R61" s="217" t="str">
        <f t="shared" si="15"/>
        <v>Actual</v>
      </c>
      <c r="S61" s="217" t="str">
        <f t="shared" si="15"/>
        <v>FCCS_YTD_Input</v>
      </c>
      <c r="T61" s="217" t="s">
        <v>850</v>
      </c>
    </row>
    <row r="62" spans="2:20" x14ac:dyDescent="0.3">
      <c r="B62" s="214" t="s">
        <v>667</v>
      </c>
      <c r="C62" s="215" t="s">
        <v>418</v>
      </c>
      <c r="D62" s="216" t="str">
        <f>[2]!HsSetValue(E62,"FCC","Scenario#"&amp;R62&amp;";Years#"&amp;J62&amp;";Period#"&amp;I62&amp;";View#"&amp;S62&amp;";Entity#"&amp;H62&amp;";Data Source#"&amp;K62&amp;";Account#"&amp;F62&amp;";Intercompany#"&amp;L62&amp;";Movement#"&amp;Q62&amp;";Consolidation#"&amp;T62&amp;";Custom1#"&amp;M62&amp;";Custom2#"&amp;N62&amp;";Custom3#"&amp;O62&amp;";Custom4#"&amp;P62&amp;"")</f>
        <v>#Invalid Syntax</v>
      </c>
      <c r="E62" s="216">
        <f>SUMIFS('Investment Analysis'!$H$22:$H$69,'Investment Analysis'!$E$22:$E$69,"Asset-backed Securities-Domestic",'Investment Analysis'!$AI$22:$AI$69,"15")</f>
        <v>0</v>
      </c>
      <c r="F62" s="217" t="s">
        <v>674</v>
      </c>
      <c r="G62" s="217" t="s">
        <v>1045</v>
      </c>
      <c r="H62" s="218" t="e">
        <f t="shared" si="13"/>
        <v>#N/A</v>
      </c>
      <c r="I62" s="218" t="str">
        <f t="shared" si="13"/>
        <v>Jun</v>
      </c>
      <c r="J62" s="217" t="str">
        <f t="shared" si="13"/>
        <v>FY25</v>
      </c>
      <c r="K62" s="217" t="str">
        <f t="shared" si="13"/>
        <v>FCCS_Other Data</v>
      </c>
      <c r="L62" s="217" t="str">
        <f t="shared" si="13"/>
        <v>FCCS_No Intercompany</v>
      </c>
      <c r="M62" s="217" t="str">
        <f t="shared" si="14"/>
        <v>No Custom1</v>
      </c>
      <c r="N62" s="217" t="str">
        <f t="shared" si="13"/>
        <v>No Custom2</v>
      </c>
      <c r="O62" s="217" t="s">
        <v>727</v>
      </c>
      <c r="P62" s="217" t="s">
        <v>555</v>
      </c>
      <c r="Q62" s="217" t="str">
        <f t="shared" si="3"/>
        <v>FCCS_ClosingBalance_Input</v>
      </c>
      <c r="R62" s="217" t="str">
        <f t="shared" si="15"/>
        <v>Actual</v>
      </c>
      <c r="S62" s="217" t="str">
        <f t="shared" si="15"/>
        <v>FCCS_YTD_Input</v>
      </c>
      <c r="T62" s="217" t="s">
        <v>850</v>
      </c>
    </row>
    <row r="63" spans="2:20" x14ac:dyDescent="0.3">
      <c r="B63" s="214" t="s">
        <v>667</v>
      </c>
      <c r="C63" s="215" t="s">
        <v>418</v>
      </c>
      <c r="D63" s="216" t="str">
        <f>[2]!HsSetValue(E63,"FCC","Scenario#"&amp;R63&amp;";Years#"&amp;J63&amp;";Period#"&amp;I63&amp;";View#"&amp;S63&amp;";Entity#"&amp;H63&amp;";Data Source#"&amp;K63&amp;";Account#"&amp;F63&amp;";Intercompany#"&amp;L63&amp;";Movement#"&amp;Q63&amp;";Consolidation#"&amp;T63&amp;";Custom1#"&amp;M63&amp;";Custom2#"&amp;N63&amp;";Custom3#"&amp;O63&amp;";Custom4#"&amp;P63&amp;"")</f>
        <v>#Invalid Syntax</v>
      </c>
      <c r="E63" s="216">
        <f>SUMIFS('Investment Analysis'!$H$22:$H$69,'Investment Analysis'!$E$22:$E$69,"Asset-backed Securities-Domestic",'Investment Analysis'!$AI$22:$AI$69,"14")</f>
        <v>0</v>
      </c>
      <c r="F63" s="217" t="s">
        <v>674</v>
      </c>
      <c r="G63" s="217" t="s">
        <v>1045</v>
      </c>
      <c r="H63" s="218" t="e">
        <f t="shared" si="13"/>
        <v>#N/A</v>
      </c>
      <c r="I63" s="218" t="str">
        <f t="shared" si="13"/>
        <v>Jun</v>
      </c>
      <c r="J63" s="217" t="str">
        <f t="shared" si="13"/>
        <v>FY25</v>
      </c>
      <c r="K63" s="217" t="str">
        <f t="shared" si="13"/>
        <v>FCCS_Other Data</v>
      </c>
      <c r="L63" s="217" t="str">
        <f t="shared" si="13"/>
        <v>FCCS_No Intercompany</v>
      </c>
      <c r="M63" s="217" t="str">
        <f t="shared" si="14"/>
        <v>No Custom1</v>
      </c>
      <c r="N63" s="217" t="str">
        <f t="shared" si="13"/>
        <v>No Custom2</v>
      </c>
      <c r="O63" s="217" t="s">
        <v>728</v>
      </c>
      <c r="P63" s="217" t="s">
        <v>555</v>
      </c>
      <c r="Q63" s="217" t="str">
        <f t="shared" si="3"/>
        <v>FCCS_ClosingBalance_Input</v>
      </c>
      <c r="R63" s="217" t="str">
        <f t="shared" si="15"/>
        <v>Actual</v>
      </c>
      <c r="S63" s="217" t="str">
        <f t="shared" si="15"/>
        <v>FCCS_YTD_Input</v>
      </c>
      <c r="T63" s="217" t="s">
        <v>850</v>
      </c>
    </row>
    <row r="64" spans="2:20" x14ac:dyDescent="0.3">
      <c r="B64" s="214" t="s">
        <v>667</v>
      </c>
      <c r="C64" s="215" t="s">
        <v>418</v>
      </c>
      <c r="D64" s="216" t="str">
        <f>[2]!HsSetValue(E64,"FCC","Scenario#"&amp;R64&amp;";Years#"&amp;J64&amp;";Period#"&amp;I64&amp;";View#"&amp;S64&amp;";Entity#"&amp;H64&amp;";Data Source#"&amp;K64&amp;";Account#"&amp;F64&amp;";Intercompany#"&amp;L64&amp;";Movement#"&amp;Q64&amp;";Consolidation#"&amp;T64&amp;";Custom1#"&amp;M64&amp;";Custom2#"&amp;N64&amp;";Custom3#"&amp;O64&amp;";Custom4#"&amp;P64&amp;"")</f>
        <v>#Invalid Syntax</v>
      </c>
      <c r="E64" s="216">
        <f>SUMIFS('Investment Analysis'!$H$22:$H$69,'Investment Analysis'!$E$22:$E$69,"Asset-backed Securities-Domestic",'Investment Analysis'!$AB$22:$AB$69,"0")+SUMIFS('Investment Analysis'!$H$22:$H$69,'Investment Analysis'!$E$22:$E$69,"Asset-backed Securities-Domestic",'Investment Analysis'!$AI$22:$AI$69,"0")</f>
        <v>0</v>
      </c>
      <c r="F64" s="217" t="s">
        <v>674</v>
      </c>
      <c r="G64" s="217" t="s">
        <v>1045</v>
      </c>
      <c r="H64" s="218" t="e">
        <f t="shared" si="13"/>
        <v>#N/A</v>
      </c>
      <c r="I64" s="218" t="str">
        <f t="shared" si="13"/>
        <v>Jun</v>
      </c>
      <c r="J64" s="217" t="str">
        <f t="shared" si="13"/>
        <v>FY25</v>
      </c>
      <c r="K64" s="217" t="str">
        <f t="shared" si="13"/>
        <v>FCCS_Other Data</v>
      </c>
      <c r="L64" s="217" t="str">
        <f t="shared" si="13"/>
        <v>FCCS_No Intercompany</v>
      </c>
      <c r="M64" s="217" t="str">
        <f t="shared" si="14"/>
        <v>No Custom1</v>
      </c>
      <c r="N64" s="217" t="str">
        <f t="shared" si="13"/>
        <v>No Custom2</v>
      </c>
      <c r="O64" s="217" t="s">
        <v>609</v>
      </c>
      <c r="P64" s="217" t="s">
        <v>555</v>
      </c>
      <c r="Q64" s="217" t="str">
        <f t="shared" si="3"/>
        <v>FCCS_ClosingBalance_Input</v>
      </c>
      <c r="R64" s="217" t="str">
        <f t="shared" si="15"/>
        <v>Actual</v>
      </c>
      <c r="S64" s="217" t="str">
        <f t="shared" si="15"/>
        <v>FCCS_YTD_Input</v>
      </c>
      <c r="T64" s="217" t="s">
        <v>850</v>
      </c>
    </row>
    <row r="66" spans="2:20" x14ac:dyDescent="0.3">
      <c r="B66" s="219" t="s">
        <v>1014</v>
      </c>
      <c r="C66" s="220" t="s">
        <v>418</v>
      </c>
      <c r="D66" s="221" t="str">
        <f>[2]!HsSetValue(E66,"FCC","Scenario#"&amp;R66&amp;";Years#"&amp;J66&amp;";Period#"&amp;I66&amp;";View#"&amp;S66&amp;";Entity#"&amp;H66&amp;";Data Source#"&amp;K66&amp;";Account#"&amp;F66&amp;";Intercompany#"&amp;L66&amp;";Movement#"&amp;Q66&amp;";Consolidation#"&amp;T66&amp;";Custom1#"&amp;M66&amp;";Custom2#"&amp;N66&amp;";Custom3#"&amp;O66&amp;";Custom4#"&amp;P66&amp;"")</f>
        <v>#Invalid Syntax</v>
      </c>
      <c r="E66" s="221">
        <f>SUMIFS('Investment Analysis'!$H$22:$H$69,'Investment Analysis'!$E$22:$E$69,"Asset-backed Securities-Domestic",'Investment Analysis'!$AK$22:$AK$69,"21")</f>
        <v>0</v>
      </c>
      <c r="F66" s="222" t="s">
        <v>675</v>
      </c>
      <c r="G66" s="222" t="s">
        <v>1015</v>
      </c>
      <c r="H66" s="223" t="e">
        <f>+H$2</f>
        <v>#N/A</v>
      </c>
      <c r="I66" s="223" t="str">
        <f t="shared" ref="I66:I70" si="16">+I$2</f>
        <v>Jun</v>
      </c>
      <c r="J66" s="222" t="str">
        <f>+J$2</f>
        <v>FY25</v>
      </c>
      <c r="K66" s="222" t="s">
        <v>843</v>
      </c>
      <c r="L66" s="222" t="s">
        <v>844</v>
      </c>
      <c r="M66" s="222" t="s">
        <v>845</v>
      </c>
      <c r="N66" s="222" t="s">
        <v>846</v>
      </c>
      <c r="O66" s="222" t="s">
        <v>729</v>
      </c>
      <c r="P66" s="222" t="s">
        <v>555</v>
      </c>
      <c r="Q66" s="222" t="str">
        <f t="shared" si="3"/>
        <v>FCCS_ClosingBalance_Input</v>
      </c>
      <c r="R66" s="222" t="s">
        <v>169</v>
      </c>
      <c r="S66" s="222" t="s">
        <v>848</v>
      </c>
      <c r="T66" s="222" t="s">
        <v>850</v>
      </c>
    </row>
    <row r="67" spans="2:20" x14ac:dyDescent="0.3">
      <c r="B67" s="219" t="s">
        <v>1014</v>
      </c>
      <c r="C67" s="220" t="s">
        <v>418</v>
      </c>
      <c r="D67" s="221" t="str">
        <f>[2]!HsSetValue(E67,"FCC","Scenario#"&amp;R67&amp;";Years#"&amp;J67&amp;";Period#"&amp;I67&amp;";View#"&amp;S67&amp;";Entity#"&amp;H67&amp;";Data Source#"&amp;K67&amp;";Account#"&amp;F67&amp;";Intercompany#"&amp;L67&amp;";Movement#"&amp;Q67&amp;";Consolidation#"&amp;T67&amp;";Custom1#"&amp;M67&amp;";Custom2#"&amp;N67&amp;";Custom3#"&amp;O67&amp;";Custom4#"&amp;P67&amp;"")</f>
        <v>#Invalid Syntax</v>
      </c>
      <c r="E67" s="221">
        <f>SUMIFS('Investment Analysis'!$H$22:$H$69,'Investment Analysis'!$E$22:$E$69,"Asset-backed Securities-Domestic",'Investment Analysis'!$AK$22:$AK$69,"22")</f>
        <v>0</v>
      </c>
      <c r="F67" s="222" t="s">
        <v>675</v>
      </c>
      <c r="G67" s="222" t="s">
        <v>1015</v>
      </c>
      <c r="H67" s="223" t="e">
        <f>+H$2</f>
        <v>#N/A</v>
      </c>
      <c r="I67" s="223" t="str">
        <f t="shared" si="16"/>
        <v>Jun</v>
      </c>
      <c r="J67" s="222" t="str">
        <f>+J$2</f>
        <v>FY25</v>
      </c>
      <c r="K67" s="222" t="str">
        <f t="shared" ref="K67:N70" si="17">+K$2</f>
        <v>FCCS_Other Data</v>
      </c>
      <c r="L67" s="222" t="str">
        <f t="shared" si="17"/>
        <v>FCCS_No Intercompany</v>
      </c>
      <c r="M67" s="222" t="str">
        <f>+M$1</f>
        <v>No Custom1</v>
      </c>
      <c r="N67" s="222" t="str">
        <f t="shared" si="17"/>
        <v>No Custom2</v>
      </c>
      <c r="O67" s="222" t="s">
        <v>730</v>
      </c>
      <c r="P67" s="222" t="s">
        <v>555</v>
      </c>
      <c r="Q67" s="222" t="str">
        <f t="shared" si="3"/>
        <v>FCCS_ClosingBalance_Input</v>
      </c>
      <c r="R67" s="222" t="str">
        <f t="shared" ref="R67:S70" si="18">+R$2</f>
        <v>Actual</v>
      </c>
      <c r="S67" s="222" t="str">
        <f t="shared" si="18"/>
        <v>FCCS_YTD_Input</v>
      </c>
      <c r="T67" s="222" t="s">
        <v>850</v>
      </c>
    </row>
    <row r="68" spans="2:20" x14ac:dyDescent="0.3">
      <c r="B68" s="219" t="s">
        <v>1014</v>
      </c>
      <c r="C68" s="220" t="s">
        <v>418</v>
      </c>
      <c r="D68" s="221" t="str">
        <f>[2]!HsSetValue(E68,"FCC","Scenario#"&amp;R68&amp;";Years#"&amp;J68&amp;";Period#"&amp;I68&amp;";View#"&amp;S68&amp;";Entity#"&amp;H68&amp;";Data Source#"&amp;K68&amp;";Account#"&amp;F68&amp;";Intercompany#"&amp;L68&amp;";Movement#"&amp;Q68&amp;";Consolidation#"&amp;T68&amp;";Custom1#"&amp;M68&amp;";Custom2#"&amp;N68&amp;";Custom3#"&amp;O68&amp;";Custom4#"&amp;P68&amp;"")</f>
        <v>#Invalid Syntax</v>
      </c>
      <c r="E68" s="221">
        <f>SUMIFS('Investment Analysis'!$H$22:$H$69,'Investment Analysis'!$E$22:$E$69,"Asset-backed Securities-Domestic",'Investment Analysis'!$AK$22:$AK$69,"23")</f>
        <v>0</v>
      </c>
      <c r="F68" s="222" t="s">
        <v>675</v>
      </c>
      <c r="G68" s="222" t="s">
        <v>1015</v>
      </c>
      <c r="H68" s="223" t="e">
        <f>+H$2</f>
        <v>#N/A</v>
      </c>
      <c r="I68" s="223" t="str">
        <f t="shared" si="16"/>
        <v>Jun</v>
      </c>
      <c r="J68" s="222" t="str">
        <f>+J$2</f>
        <v>FY25</v>
      </c>
      <c r="K68" s="222" t="str">
        <f t="shared" si="17"/>
        <v>FCCS_Other Data</v>
      </c>
      <c r="L68" s="222" t="str">
        <f t="shared" si="17"/>
        <v>FCCS_No Intercompany</v>
      </c>
      <c r="M68" s="222" t="str">
        <f>+M$1</f>
        <v>No Custom1</v>
      </c>
      <c r="N68" s="222" t="str">
        <f t="shared" si="17"/>
        <v>No Custom2</v>
      </c>
      <c r="O68" s="222" t="s">
        <v>731</v>
      </c>
      <c r="P68" s="222" t="s">
        <v>555</v>
      </c>
      <c r="Q68" s="222" t="str">
        <f t="shared" si="3"/>
        <v>FCCS_ClosingBalance_Input</v>
      </c>
      <c r="R68" s="222" t="str">
        <f t="shared" si="18"/>
        <v>Actual</v>
      </c>
      <c r="S68" s="222" t="str">
        <f t="shared" si="18"/>
        <v>FCCS_YTD_Input</v>
      </c>
      <c r="T68" s="222" t="s">
        <v>850</v>
      </c>
    </row>
    <row r="69" spans="2:20" x14ac:dyDescent="0.3">
      <c r="B69" s="219" t="s">
        <v>1014</v>
      </c>
      <c r="C69" s="220" t="s">
        <v>418</v>
      </c>
      <c r="D69" s="221" t="str">
        <f>[2]!HsSetValue(E69,"FCC","Scenario#"&amp;R69&amp;";Years#"&amp;J69&amp;";Period#"&amp;I69&amp;";View#"&amp;S69&amp;";Entity#"&amp;H69&amp;";Data Source#"&amp;K69&amp;";Account#"&amp;F69&amp;";Intercompany#"&amp;L69&amp;";Movement#"&amp;Q69&amp;";Consolidation#"&amp;T69&amp;";Custom1#"&amp;M69&amp;";Custom2#"&amp;N69&amp;";Custom3#"&amp;O69&amp;";Custom4#"&amp;P69&amp;"")</f>
        <v>#Invalid Syntax</v>
      </c>
      <c r="E69" s="221">
        <f>SUMIFS('Investment Analysis'!$H$22:$H$69,'Investment Analysis'!$E$22:$E$69,"Asset-backed Securities-Domestic",'Investment Analysis'!$AK$22:$AK$69,"24")</f>
        <v>0</v>
      </c>
      <c r="F69" s="222" t="s">
        <v>675</v>
      </c>
      <c r="G69" s="222" t="s">
        <v>1015</v>
      </c>
      <c r="H69" s="223" t="e">
        <f>+H$2</f>
        <v>#N/A</v>
      </c>
      <c r="I69" s="223" t="str">
        <f t="shared" si="16"/>
        <v>Jun</v>
      </c>
      <c r="J69" s="222" t="str">
        <f>+J$2</f>
        <v>FY25</v>
      </c>
      <c r="K69" s="222" t="str">
        <f t="shared" si="17"/>
        <v>FCCS_Other Data</v>
      </c>
      <c r="L69" s="222" t="str">
        <f t="shared" si="17"/>
        <v>FCCS_No Intercompany</v>
      </c>
      <c r="M69" s="222" t="str">
        <f>+M$1</f>
        <v>No Custom1</v>
      </c>
      <c r="N69" s="222" t="str">
        <f t="shared" si="17"/>
        <v>No Custom2</v>
      </c>
      <c r="O69" s="222" t="s">
        <v>732</v>
      </c>
      <c r="P69" s="222" t="s">
        <v>555</v>
      </c>
      <c r="Q69" s="222" t="str">
        <f t="shared" si="3"/>
        <v>FCCS_ClosingBalance_Input</v>
      </c>
      <c r="R69" s="222" t="str">
        <f t="shared" si="18"/>
        <v>Actual</v>
      </c>
      <c r="S69" s="222" t="str">
        <f t="shared" si="18"/>
        <v>FCCS_YTD_Input</v>
      </c>
      <c r="T69" s="222" t="s">
        <v>850</v>
      </c>
    </row>
    <row r="70" spans="2:20" x14ac:dyDescent="0.3">
      <c r="B70" s="219" t="s">
        <v>1014</v>
      </c>
      <c r="C70" s="220" t="s">
        <v>418</v>
      </c>
      <c r="D70" s="221" t="str">
        <f>[2]!HsSetValue(E70,"FCC","Scenario#"&amp;R70&amp;";Years#"&amp;J70&amp;";Period#"&amp;I70&amp;";View#"&amp;S70&amp;";Entity#"&amp;H70&amp;";Data Source#"&amp;K70&amp;";Account#"&amp;F70&amp;";Intercompany#"&amp;L70&amp;";Movement#"&amp;Q70&amp;";Consolidation#"&amp;T70&amp;";Custom1#"&amp;M70&amp;";Custom2#"&amp;N70&amp;";Custom3#"&amp;O70&amp;";Custom4#"&amp;P70&amp;"")</f>
        <v>#Invalid Syntax</v>
      </c>
      <c r="E70" s="221">
        <f>SUMIFS('Investment Analysis'!$H$22:$H$69,'Investment Analysis'!$E$22:$E$69,"Asset-backed Securities-Domestic",'Investment Analysis'!$AK$22:$AK$69,"25")</f>
        <v>0</v>
      </c>
      <c r="F70" s="222" t="s">
        <v>675</v>
      </c>
      <c r="G70" s="222" t="s">
        <v>1015</v>
      </c>
      <c r="H70" s="223" t="e">
        <f>+H$2</f>
        <v>#N/A</v>
      </c>
      <c r="I70" s="223" t="str">
        <f t="shared" si="16"/>
        <v>Jun</v>
      </c>
      <c r="J70" s="222" t="str">
        <f>+J$2</f>
        <v>FY25</v>
      </c>
      <c r="K70" s="222" t="str">
        <f t="shared" si="17"/>
        <v>FCCS_Other Data</v>
      </c>
      <c r="L70" s="222" t="str">
        <f t="shared" si="17"/>
        <v>FCCS_No Intercompany</v>
      </c>
      <c r="M70" s="222" t="str">
        <f>+M$1</f>
        <v>No Custom1</v>
      </c>
      <c r="N70" s="222" t="str">
        <f t="shared" si="17"/>
        <v>No Custom2</v>
      </c>
      <c r="O70" s="222" t="s">
        <v>733</v>
      </c>
      <c r="P70" s="222" t="s">
        <v>555</v>
      </c>
      <c r="Q70" s="222" t="str">
        <f t="shared" si="3"/>
        <v>FCCS_ClosingBalance_Input</v>
      </c>
      <c r="R70" s="222" t="str">
        <f t="shared" si="18"/>
        <v>Actual</v>
      </c>
      <c r="S70" s="222" t="str">
        <f t="shared" si="18"/>
        <v>FCCS_YTD_Input</v>
      </c>
      <c r="T70" s="222" t="s">
        <v>850</v>
      </c>
    </row>
    <row r="71" spans="2:20" x14ac:dyDescent="0.3">
      <c r="B71" s="210"/>
      <c r="C71" s="211"/>
      <c r="D71" s="212"/>
      <c r="E71" s="212"/>
      <c r="H71" s="262"/>
      <c r="I71" s="262"/>
    </row>
    <row r="72" spans="2:20" x14ac:dyDescent="0.3">
      <c r="B72" s="364" t="s">
        <v>668</v>
      </c>
      <c r="C72" s="365" t="s">
        <v>419</v>
      </c>
      <c r="D72" s="366" t="str">
        <f>[2]!HsSetValue(E72,"FCC","Scenario#"&amp;R72&amp;";Years#"&amp;J72&amp;";Period#"&amp;I72&amp;";View#"&amp;S72&amp;";Entity#"&amp;H72&amp;";Data Source#"&amp;K72&amp;";Account#"&amp;F72&amp;";Intercompany#"&amp;L72&amp;";Movement#"&amp;Q72&amp;";Consolidation#"&amp;T72&amp;";Custom1#"&amp;M72&amp;";Custom2#"&amp;N72&amp;";Custom3#"&amp;O72&amp;";Custom4#"&amp;P72&amp;"")</f>
        <v>#Invalid Syntax</v>
      </c>
      <c r="E72" s="366">
        <f>SUMIF('Investment Analysis'!$E$22:$E$69,'FCC Investments - Load Tab'!C72,'Investment Analysis'!$K$22:$K$69)</f>
        <v>0</v>
      </c>
      <c r="F72" s="367" t="s">
        <v>673</v>
      </c>
      <c r="G72" s="367" t="s">
        <v>633</v>
      </c>
      <c r="H72" s="368" t="e">
        <f>+H$2</f>
        <v>#N/A</v>
      </c>
      <c r="I72" s="368" t="str">
        <f t="shared" ref="I72:I76" si="19">+I$2</f>
        <v>Jun</v>
      </c>
      <c r="J72" s="367" t="str">
        <f>+J$2</f>
        <v>FY25</v>
      </c>
      <c r="K72" s="367" t="s">
        <v>843</v>
      </c>
      <c r="L72" s="367" t="s">
        <v>844</v>
      </c>
      <c r="M72" s="367" t="s">
        <v>845</v>
      </c>
      <c r="N72" s="367" t="s">
        <v>846</v>
      </c>
      <c r="O72" s="367" t="s">
        <v>721</v>
      </c>
      <c r="P72" s="367" t="s">
        <v>563</v>
      </c>
      <c r="Q72" s="367" t="str">
        <f t="shared" si="3"/>
        <v>FCCS_ClosingBalance_Input</v>
      </c>
      <c r="R72" s="367" t="s">
        <v>169</v>
      </c>
      <c r="S72" s="367" t="s">
        <v>848</v>
      </c>
      <c r="T72" s="367" t="s">
        <v>850</v>
      </c>
    </row>
    <row r="73" spans="2:20" x14ac:dyDescent="0.3">
      <c r="B73" s="364" t="s">
        <v>668</v>
      </c>
      <c r="C73" s="365" t="s">
        <v>419</v>
      </c>
      <c r="D73" s="366" t="str">
        <f>[2]!HsSetValue(E73,"FCC","Scenario#"&amp;R73&amp;";Years#"&amp;J73&amp;";Period#"&amp;I73&amp;";View#"&amp;S73&amp;";Entity#"&amp;H73&amp;";Data Source#"&amp;K73&amp;";Account#"&amp;F73&amp;";Intercompany#"&amp;L73&amp;";Movement#"&amp;Q73&amp;";Consolidation#"&amp;T73&amp;";Custom1#"&amp;M73&amp;";Custom2#"&amp;N73&amp;";Custom3#"&amp;O73&amp;";Custom4#"&amp;P73&amp;"")</f>
        <v>#Invalid Syntax</v>
      </c>
      <c r="E73" s="366">
        <f>SUMIF('Investment Analysis'!$E$22:$E$69,'FCC Investments - Load Tab'!C72,'Investment Analysis'!$L$22:$L$69)</f>
        <v>0</v>
      </c>
      <c r="F73" s="367" t="s">
        <v>673</v>
      </c>
      <c r="G73" s="367" t="s">
        <v>633</v>
      </c>
      <c r="H73" s="368" t="e">
        <f>+H$2</f>
        <v>#N/A</v>
      </c>
      <c r="I73" s="368" t="str">
        <f t="shared" si="19"/>
        <v>Jun</v>
      </c>
      <c r="J73" s="367" t="str">
        <f>+J$2</f>
        <v>FY25</v>
      </c>
      <c r="K73" s="367" t="str">
        <f t="shared" ref="K73:N76" si="20">+K$2</f>
        <v>FCCS_Other Data</v>
      </c>
      <c r="L73" s="367" t="str">
        <f t="shared" si="20"/>
        <v>FCCS_No Intercompany</v>
      </c>
      <c r="M73" s="367" t="str">
        <f>+M$1</f>
        <v>No Custom1</v>
      </c>
      <c r="N73" s="367" t="str">
        <f t="shared" si="20"/>
        <v>No Custom2</v>
      </c>
      <c r="O73" s="367" t="s">
        <v>722</v>
      </c>
      <c r="P73" s="367" t="s">
        <v>563</v>
      </c>
      <c r="Q73" s="367" t="str">
        <f t="shared" si="3"/>
        <v>FCCS_ClosingBalance_Input</v>
      </c>
      <c r="R73" s="367" t="str">
        <f t="shared" ref="R73:S76" si="21">+R$2</f>
        <v>Actual</v>
      </c>
      <c r="S73" s="367" t="str">
        <f t="shared" si="21"/>
        <v>FCCS_YTD_Input</v>
      </c>
      <c r="T73" s="367" t="s">
        <v>850</v>
      </c>
    </row>
    <row r="74" spans="2:20" x14ac:dyDescent="0.3">
      <c r="B74" s="364" t="s">
        <v>668</v>
      </c>
      <c r="C74" s="365" t="s">
        <v>419</v>
      </c>
      <c r="D74" s="366" t="str">
        <f>[2]!HsSetValue(E74,"FCC","Scenario#"&amp;R74&amp;";Years#"&amp;J74&amp;";Period#"&amp;I74&amp;";View#"&amp;S74&amp;";Entity#"&amp;H74&amp;";Data Source#"&amp;K74&amp;";Account#"&amp;F74&amp;";Intercompany#"&amp;L74&amp;";Movement#"&amp;Q74&amp;";Consolidation#"&amp;T74&amp;";Custom1#"&amp;M74&amp;";Custom2#"&amp;N74&amp;";Custom3#"&amp;O74&amp;";Custom4#"&amp;P74&amp;"")</f>
        <v>#Invalid Syntax</v>
      </c>
      <c r="E74" s="366">
        <f>SUMIF('Investment Analysis'!$E$22:$E$69,'FCC Investments - Load Tab'!C72,'Investment Analysis'!$M$22:$M$69)</f>
        <v>0</v>
      </c>
      <c r="F74" s="367" t="s">
        <v>673</v>
      </c>
      <c r="G74" s="367" t="s">
        <v>633</v>
      </c>
      <c r="H74" s="368" t="e">
        <f>+H$2</f>
        <v>#N/A</v>
      </c>
      <c r="I74" s="368" t="str">
        <f t="shared" si="19"/>
        <v>Jun</v>
      </c>
      <c r="J74" s="367" t="str">
        <f>+J$2</f>
        <v>FY25</v>
      </c>
      <c r="K74" s="367" t="str">
        <f t="shared" si="20"/>
        <v>FCCS_Other Data</v>
      </c>
      <c r="L74" s="367" t="str">
        <f t="shared" si="20"/>
        <v>FCCS_No Intercompany</v>
      </c>
      <c r="M74" s="367" t="str">
        <f>+M$1</f>
        <v>No Custom1</v>
      </c>
      <c r="N74" s="367" t="str">
        <f t="shared" si="20"/>
        <v>No Custom2</v>
      </c>
      <c r="O74" s="367" t="s">
        <v>723</v>
      </c>
      <c r="P74" s="367" t="s">
        <v>563</v>
      </c>
      <c r="Q74" s="367" t="str">
        <f t="shared" si="3"/>
        <v>FCCS_ClosingBalance_Input</v>
      </c>
      <c r="R74" s="367" t="str">
        <f t="shared" si="21"/>
        <v>Actual</v>
      </c>
      <c r="S74" s="367" t="str">
        <f t="shared" si="21"/>
        <v>FCCS_YTD_Input</v>
      </c>
      <c r="T74" s="367" t="s">
        <v>850</v>
      </c>
    </row>
    <row r="75" spans="2:20" x14ac:dyDescent="0.3">
      <c r="B75" s="364" t="s">
        <v>668</v>
      </c>
      <c r="C75" s="365" t="s">
        <v>419</v>
      </c>
      <c r="D75" s="366" t="str">
        <f>[2]!HsSetValue(E75,"FCC","Scenario#"&amp;R75&amp;";Years#"&amp;J75&amp;";Period#"&amp;I75&amp;";View#"&amp;S75&amp;";Entity#"&amp;H75&amp;";Data Source#"&amp;K75&amp;";Account#"&amp;F75&amp;";Intercompany#"&amp;L75&amp;";Movement#"&amp;Q75&amp;";Consolidation#"&amp;T75&amp;";Custom1#"&amp;M75&amp;";Custom2#"&amp;N75&amp;";Custom3#"&amp;O75&amp;";Custom4#"&amp;P75&amp;"")</f>
        <v>#Invalid Syntax</v>
      </c>
      <c r="E75" s="366">
        <f>SUMIF('Investment Analysis'!$E$22:$E$69,'FCC Investments - Load Tab'!C75,'Investment Analysis'!$N$22:$N$69)</f>
        <v>0</v>
      </c>
      <c r="F75" s="367" t="s">
        <v>673</v>
      </c>
      <c r="G75" s="367" t="s">
        <v>633</v>
      </c>
      <c r="H75" s="368" t="e">
        <f>+H$2</f>
        <v>#N/A</v>
      </c>
      <c r="I75" s="368" t="str">
        <f t="shared" si="19"/>
        <v>Jun</v>
      </c>
      <c r="J75" s="367" t="str">
        <f>+J$2</f>
        <v>FY25</v>
      </c>
      <c r="K75" s="367" t="str">
        <f t="shared" si="20"/>
        <v>FCCS_Other Data</v>
      </c>
      <c r="L75" s="367" t="str">
        <f t="shared" si="20"/>
        <v>FCCS_No Intercompany</v>
      </c>
      <c r="M75" s="367" t="str">
        <f>+M$1</f>
        <v>No Custom1</v>
      </c>
      <c r="N75" s="367" t="str">
        <f t="shared" si="20"/>
        <v>No Custom2</v>
      </c>
      <c r="O75" s="367" t="s">
        <v>724</v>
      </c>
      <c r="P75" s="367" t="s">
        <v>563</v>
      </c>
      <c r="Q75" s="367" t="str">
        <f t="shared" si="3"/>
        <v>FCCS_ClosingBalance_Input</v>
      </c>
      <c r="R75" s="367" t="str">
        <f t="shared" si="21"/>
        <v>Actual</v>
      </c>
      <c r="S75" s="367" t="str">
        <f t="shared" si="21"/>
        <v>FCCS_YTD_Input</v>
      </c>
      <c r="T75" s="367" t="s">
        <v>850</v>
      </c>
    </row>
    <row r="76" spans="2:20" x14ac:dyDescent="0.3">
      <c r="B76" s="364" t="s">
        <v>668</v>
      </c>
      <c r="C76" s="365" t="s">
        <v>419</v>
      </c>
      <c r="D76" s="366" t="str">
        <f>[2]!HsSetValue(E76,"FCC","Scenario#"&amp;R76&amp;";Years#"&amp;J76&amp;";Period#"&amp;I76&amp;";View#"&amp;S76&amp;";Entity#"&amp;H76&amp;";Data Source#"&amp;K76&amp;";Account#"&amp;F76&amp;";Intercompany#"&amp;L76&amp;";Movement#"&amp;Q76&amp;";Consolidation#"&amp;T76&amp;";Custom1#"&amp;M76&amp;";Custom2#"&amp;N76&amp;";Custom3#"&amp;O76&amp;";Custom4#"&amp;P76&amp;"")</f>
        <v>#Invalid Syntax</v>
      </c>
      <c r="E76" s="366">
        <f>SUMIF('Investment Analysis'!$E$2:$E$69,'FCC Investments - Load Tab'!C76,'Investment Analysis'!$O$2:$O$69)</f>
        <v>0</v>
      </c>
      <c r="F76" s="367" t="s">
        <v>673</v>
      </c>
      <c r="G76" s="367" t="s">
        <v>633</v>
      </c>
      <c r="H76" s="368" t="e">
        <f>+H$2</f>
        <v>#N/A</v>
      </c>
      <c r="I76" s="368" t="str">
        <f t="shared" si="19"/>
        <v>Jun</v>
      </c>
      <c r="J76" s="367" t="str">
        <f>+J$2</f>
        <v>FY25</v>
      </c>
      <c r="K76" s="367" t="str">
        <f t="shared" si="20"/>
        <v>FCCS_Other Data</v>
      </c>
      <c r="L76" s="367" t="str">
        <f t="shared" si="20"/>
        <v>FCCS_No Intercompany</v>
      </c>
      <c r="M76" s="367" t="str">
        <f>+M$1</f>
        <v>No Custom1</v>
      </c>
      <c r="N76" s="367" t="str">
        <f t="shared" si="20"/>
        <v>No Custom2</v>
      </c>
      <c r="O76" s="367" t="s">
        <v>725</v>
      </c>
      <c r="P76" s="367" t="s">
        <v>563</v>
      </c>
      <c r="Q76" s="367" t="str">
        <f t="shared" si="3"/>
        <v>FCCS_ClosingBalance_Input</v>
      </c>
      <c r="R76" s="367" t="str">
        <f t="shared" si="21"/>
        <v>Actual</v>
      </c>
      <c r="S76" s="367" t="str">
        <f t="shared" si="21"/>
        <v>FCCS_YTD_Input</v>
      </c>
      <c r="T76" s="367" t="s">
        <v>850</v>
      </c>
    </row>
    <row r="77" spans="2:20" x14ac:dyDescent="0.3">
      <c r="B77" s="210"/>
      <c r="C77" s="211"/>
      <c r="D77" s="212"/>
      <c r="E77" s="212"/>
    </row>
    <row r="78" spans="2:20" x14ac:dyDescent="0.3">
      <c r="B78" s="214" t="s">
        <v>667</v>
      </c>
      <c r="C78" s="215" t="s">
        <v>419</v>
      </c>
      <c r="D78" s="216" t="str">
        <f>[2]!HsSetValue(E78,"FCC","Scenario#"&amp;R78&amp;";Years#"&amp;J78&amp;";Period#"&amp;I78&amp;";View#"&amp;S78&amp;";Entity#"&amp;H78&amp;";Data Source#"&amp;K78&amp;";Account#"&amp;F78&amp;";Intercompany#"&amp;L78&amp;";Movement#"&amp;Q78&amp;";Consolidation#"&amp;T78&amp;";Custom1#"&amp;M78&amp;";Custom2#"&amp;N78&amp;";Custom3#"&amp;O78&amp;";Custom4#"&amp;P78&amp;"")</f>
        <v>#Invalid Syntax</v>
      </c>
      <c r="E78" s="216">
        <f>SUMIFS('Investment Analysis'!$H$22:$H$69,'Investment Analysis'!$E$22:$E$69,"Asset-backed Securities-International",'Investment Analysis'!$AB$22:$AB$69,"10")</f>
        <v>0</v>
      </c>
      <c r="F78" s="217" t="s">
        <v>674</v>
      </c>
      <c r="G78" s="217" t="s">
        <v>1046</v>
      </c>
      <c r="H78" s="218" t="e">
        <f t="shared" ref="H78:N91" si="22">+H$2</f>
        <v>#N/A</v>
      </c>
      <c r="I78" s="218" t="str">
        <f t="shared" si="22"/>
        <v>Jun</v>
      </c>
      <c r="J78" s="217" t="str">
        <f t="shared" si="22"/>
        <v>FY25</v>
      </c>
      <c r="K78" s="217" t="str">
        <f t="shared" si="22"/>
        <v>FCCS_Other Data</v>
      </c>
      <c r="L78" s="217" t="str">
        <f t="shared" si="22"/>
        <v>FCCS_No Intercompany</v>
      </c>
      <c r="M78" s="217" t="str">
        <f t="shared" ref="M78:M91" si="23">+M$1</f>
        <v>No Custom1</v>
      </c>
      <c r="N78" s="217" t="str">
        <f t="shared" si="22"/>
        <v>No Custom2</v>
      </c>
      <c r="O78" s="217" t="s">
        <v>433</v>
      </c>
      <c r="P78" s="217" t="s">
        <v>563</v>
      </c>
      <c r="Q78" s="217" t="str">
        <f t="shared" si="3"/>
        <v>FCCS_ClosingBalance_Input</v>
      </c>
      <c r="R78" s="217" t="str">
        <f t="shared" ref="R78:S91" si="24">+R$2</f>
        <v>Actual</v>
      </c>
      <c r="S78" s="217" t="str">
        <f t="shared" si="24"/>
        <v>FCCS_YTD_Input</v>
      </c>
      <c r="T78" s="217" t="s">
        <v>850</v>
      </c>
    </row>
    <row r="79" spans="2:20" x14ac:dyDescent="0.3">
      <c r="B79" s="214" t="s">
        <v>667</v>
      </c>
      <c r="C79" s="215" t="s">
        <v>419</v>
      </c>
      <c r="D79" s="216" t="str">
        <f>[2]!HsSetValue(E79,"FCC","Scenario#"&amp;R79&amp;";Years#"&amp;J79&amp;";Period#"&amp;I79&amp;";View#"&amp;S79&amp;";Entity#"&amp;H79&amp;";Data Source#"&amp;K79&amp;";Account#"&amp;F79&amp;";Intercompany#"&amp;L79&amp;";Movement#"&amp;Q79&amp;";Consolidation#"&amp;T79&amp;";Custom1#"&amp;M79&amp;";Custom2#"&amp;N79&amp;";Custom3#"&amp;O79&amp;";Custom4#"&amp;P79&amp;"")</f>
        <v>#Invalid Syntax</v>
      </c>
      <c r="E79" s="216">
        <f>SUMIFS('Investment Analysis'!$H$22:$H$69,'Investment Analysis'!$E$22:$E$69,"Asset-backed Securities-International",'Investment Analysis'!$AB$22:$AB$69,"9")</f>
        <v>0</v>
      </c>
      <c r="F79" s="217" t="s">
        <v>674</v>
      </c>
      <c r="G79" s="217" t="s">
        <v>1046</v>
      </c>
      <c r="H79" s="218" t="e">
        <f t="shared" si="22"/>
        <v>#N/A</v>
      </c>
      <c r="I79" s="218" t="str">
        <f t="shared" si="22"/>
        <v>Jun</v>
      </c>
      <c r="J79" s="217" t="str">
        <f t="shared" si="22"/>
        <v>FY25</v>
      </c>
      <c r="K79" s="217" t="str">
        <f t="shared" si="22"/>
        <v>FCCS_Other Data</v>
      </c>
      <c r="L79" s="217" t="str">
        <f t="shared" si="22"/>
        <v>FCCS_No Intercompany</v>
      </c>
      <c r="M79" s="217" t="str">
        <f t="shared" si="23"/>
        <v>No Custom1</v>
      </c>
      <c r="N79" s="217" t="str">
        <f t="shared" si="22"/>
        <v>No Custom2</v>
      </c>
      <c r="O79" s="217" t="s">
        <v>596</v>
      </c>
      <c r="P79" s="217" t="s">
        <v>563</v>
      </c>
      <c r="Q79" s="217" t="str">
        <f t="shared" ref="Q79:Q91" si="25">Q$2</f>
        <v>FCCS_ClosingBalance_Input</v>
      </c>
      <c r="R79" s="217" t="str">
        <f t="shared" si="24"/>
        <v>Actual</v>
      </c>
      <c r="S79" s="217" t="str">
        <f t="shared" si="24"/>
        <v>FCCS_YTD_Input</v>
      </c>
      <c r="T79" s="217" t="s">
        <v>850</v>
      </c>
    </row>
    <row r="80" spans="2:20" x14ac:dyDescent="0.3">
      <c r="B80" s="214" t="s">
        <v>667</v>
      </c>
      <c r="C80" s="215" t="s">
        <v>419</v>
      </c>
      <c r="D80" s="216" t="str">
        <f>[2]!HsSetValue(E80,"FCC","Scenario#"&amp;R80&amp;";Years#"&amp;J80&amp;";Period#"&amp;I80&amp;";View#"&amp;S80&amp;";Entity#"&amp;H80&amp;";Data Source#"&amp;K80&amp;";Account#"&amp;F80&amp;";Intercompany#"&amp;L80&amp;";Movement#"&amp;Q80&amp;";Consolidation#"&amp;T80&amp;";Custom1#"&amp;M80&amp;";Custom2#"&amp;N80&amp;";Custom3#"&amp;O80&amp;";Custom4#"&amp;P80&amp;"")</f>
        <v>#Invalid Syntax</v>
      </c>
      <c r="E80" s="216">
        <f>SUMIFS('Investment Analysis'!$H$22:$H$69,'Investment Analysis'!$E$22:$E$69,"Asset-backed Securities-International",'Investment Analysis'!$AB$22:$AB$69,"8")</f>
        <v>0</v>
      </c>
      <c r="F80" s="217" t="s">
        <v>674</v>
      </c>
      <c r="G80" s="217" t="s">
        <v>1046</v>
      </c>
      <c r="H80" s="218" t="e">
        <f t="shared" si="22"/>
        <v>#N/A</v>
      </c>
      <c r="I80" s="218" t="str">
        <f t="shared" si="22"/>
        <v>Jun</v>
      </c>
      <c r="J80" s="217" t="str">
        <f t="shared" si="22"/>
        <v>FY25</v>
      </c>
      <c r="K80" s="217" t="str">
        <f t="shared" si="22"/>
        <v>FCCS_Other Data</v>
      </c>
      <c r="L80" s="217" t="str">
        <f t="shared" si="22"/>
        <v>FCCS_No Intercompany</v>
      </c>
      <c r="M80" s="217" t="str">
        <f t="shared" si="23"/>
        <v>No Custom1</v>
      </c>
      <c r="N80" s="217" t="str">
        <f t="shared" si="22"/>
        <v>No Custom2</v>
      </c>
      <c r="O80" s="217" t="s">
        <v>61</v>
      </c>
      <c r="P80" s="217" t="s">
        <v>563</v>
      </c>
      <c r="Q80" s="217" t="str">
        <f t="shared" si="25"/>
        <v>FCCS_ClosingBalance_Input</v>
      </c>
      <c r="R80" s="217" t="str">
        <f t="shared" si="24"/>
        <v>Actual</v>
      </c>
      <c r="S80" s="217" t="str">
        <f t="shared" si="24"/>
        <v>FCCS_YTD_Input</v>
      </c>
      <c r="T80" s="217" t="s">
        <v>850</v>
      </c>
    </row>
    <row r="81" spans="2:20" x14ac:dyDescent="0.3">
      <c r="B81" s="214" t="s">
        <v>667</v>
      </c>
      <c r="C81" s="215" t="s">
        <v>419</v>
      </c>
      <c r="D81" s="216" t="str">
        <f>[2]!HsSetValue(E81,"FCC","Scenario#"&amp;R81&amp;";Years#"&amp;J81&amp;";Period#"&amp;I81&amp;";View#"&amp;S81&amp;";Entity#"&amp;H81&amp;";Data Source#"&amp;K81&amp;";Account#"&amp;F81&amp;";Intercompany#"&amp;L81&amp;";Movement#"&amp;Q81&amp;";Consolidation#"&amp;T81&amp;";Custom1#"&amp;M81&amp;";Custom2#"&amp;N81&amp;";Custom3#"&amp;O81&amp;";Custom4#"&amp;P81&amp;"")</f>
        <v>#Invalid Syntax</v>
      </c>
      <c r="E81" s="216">
        <f>SUMIFS('Investment Analysis'!$H$22:$H$69,'Investment Analysis'!$E$22:$E$69,"Asset-backed Securities-International",'Investment Analysis'!$AB$22:$AB$69,"7")</f>
        <v>0</v>
      </c>
      <c r="F81" s="217" t="s">
        <v>674</v>
      </c>
      <c r="G81" s="217" t="s">
        <v>1046</v>
      </c>
      <c r="H81" s="218" t="e">
        <f t="shared" si="22"/>
        <v>#N/A</v>
      </c>
      <c r="I81" s="218" t="str">
        <f t="shared" si="22"/>
        <v>Jun</v>
      </c>
      <c r="J81" s="217" t="str">
        <f t="shared" si="22"/>
        <v>FY25</v>
      </c>
      <c r="K81" s="217" t="str">
        <f t="shared" si="22"/>
        <v>FCCS_Other Data</v>
      </c>
      <c r="L81" s="217" t="str">
        <f t="shared" si="22"/>
        <v>FCCS_No Intercompany</v>
      </c>
      <c r="M81" s="217" t="str">
        <f t="shared" si="23"/>
        <v>No Custom1</v>
      </c>
      <c r="N81" s="217" t="str">
        <f t="shared" si="22"/>
        <v>No Custom2</v>
      </c>
      <c r="O81" s="217" t="s">
        <v>62</v>
      </c>
      <c r="P81" s="217" t="s">
        <v>563</v>
      </c>
      <c r="Q81" s="217" t="str">
        <f t="shared" si="25"/>
        <v>FCCS_ClosingBalance_Input</v>
      </c>
      <c r="R81" s="217" t="str">
        <f t="shared" si="24"/>
        <v>Actual</v>
      </c>
      <c r="S81" s="217" t="str">
        <f t="shared" si="24"/>
        <v>FCCS_YTD_Input</v>
      </c>
      <c r="T81" s="217" t="s">
        <v>850</v>
      </c>
    </row>
    <row r="82" spans="2:20" x14ac:dyDescent="0.3">
      <c r="B82" s="214" t="s">
        <v>667</v>
      </c>
      <c r="C82" s="215" t="s">
        <v>419</v>
      </c>
      <c r="D82" s="216" t="str">
        <f>[2]!HsSetValue(E82,"FCC","Scenario#"&amp;R82&amp;";Years#"&amp;J82&amp;";Period#"&amp;I82&amp;";View#"&amp;S82&amp;";Entity#"&amp;H82&amp;";Data Source#"&amp;K82&amp;";Account#"&amp;F82&amp;";Intercompany#"&amp;L82&amp;";Movement#"&amp;Q82&amp;";Consolidation#"&amp;T82&amp;";Custom1#"&amp;M82&amp;";Custom2#"&amp;N82&amp;";Custom3#"&amp;O82&amp;";Custom4#"&amp;P82&amp;"")</f>
        <v>#Invalid Syntax</v>
      </c>
      <c r="E82" s="216">
        <f>SUMIFS('Investment Analysis'!$H$22:$H$69,'Investment Analysis'!$E$22:$E$69,"Asset-backed Securities-International",'Investment Analysis'!$AB$22:$AB$69,"6")</f>
        <v>0</v>
      </c>
      <c r="F82" s="217" t="s">
        <v>674</v>
      </c>
      <c r="G82" s="217" t="s">
        <v>1046</v>
      </c>
      <c r="H82" s="218" t="e">
        <f t="shared" si="22"/>
        <v>#N/A</v>
      </c>
      <c r="I82" s="218" t="str">
        <f t="shared" si="22"/>
        <v>Jun</v>
      </c>
      <c r="J82" s="217" t="str">
        <f t="shared" si="22"/>
        <v>FY25</v>
      </c>
      <c r="K82" s="217" t="str">
        <f t="shared" si="22"/>
        <v>FCCS_Other Data</v>
      </c>
      <c r="L82" s="217" t="str">
        <f t="shared" si="22"/>
        <v>FCCS_No Intercompany</v>
      </c>
      <c r="M82" s="217" t="str">
        <f t="shared" si="23"/>
        <v>No Custom1</v>
      </c>
      <c r="N82" s="217" t="str">
        <f t="shared" si="22"/>
        <v>No Custom2</v>
      </c>
      <c r="O82" s="217" t="s">
        <v>436</v>
      </c>
      <c r="P82" s="217" t="s">
        <v>563</v>
      </c>
      <c r="Q82" s="217" t="str">
        <f t="shared" si="25"/>
        <v>FCCS_ClosingBalance_Input</v>
      </c>
      <c r="R82" s="217" t="str">
        <f t="shared" si="24"/>
        <v>Actual</v>
      </c>
      <c r="S82" s="217" t="str">
        <f t="shared" si="24"/>
        <v>FCCS_YTD_Input</v>
      </c>
      <c r="T82" s="217" t="s">
        <v>850</v>
      </c>
    </row>
    <row r="83" spans="2:20" x14ac:dyDescent="0.3">
      <c r="B83" s="214" t="s">
        <v>667</v>
      </c>
      <c r="C83" s="215" t="s">
        <v>419</v>
      </c>
      <c r="D83" s="216" t="str">
        <f>[2]!HsSetValue(E83,"FCC","Scenario#"&amp;R83&amp;";Years#"&amp;J83&amp;";Period#"&amp;I83&amp;";View#"&amp;S83&amp;";Entity#"&amp;H83&amp;";Data Source#"&amp;K83&amp;";Account#"&amp;F83&amp;";Intercompany#"&amp;L83&amp;";Movement#"&amp;Q83&amp;";Consolidation#"&amp;T83&amp;";Custom1#"&amp;M83&amp;";Custom2#"&amp;N83&amp;";Custom3#"&amp;O83&amp;";Custom4#"&amp;P83&amp;"")</f>
        <v>#Invalid Syntax</v>
      </c>
      <c r="E83" s="216">
        <f>SUMIFS('Investment Analysis'!$H$22:$H$69,'Investment Analysis'!$E$22:$E$69,"Asset-backed Securities-International",'Investment Analysis'!$AB$22:$AB$69,"5")</f>
        <v>0</v>
      </c>
      <c r="F83" s="217" t="s">
        <v>674</v>
      </c>
      <c r="G83" s="217" t="s">
        <v>1046</v>
      </c>
      <c r="H83" s="218" t="e">
        <f t="shared" si="22"/>
        <v>#N/A</v>
      </c>
      <c r="I83" s="218" t="str">
        <f t="shared" si="22"/>
        <v>Jun</v>
      </c>
      <c r="J83" s="217" t="str">
        <f t="shared" si="22"/>
        <v>FY25</v>
      </c>
      <c r="K83" s="217" t="str">
        <f t="shared" si="22"/>
        <v>FCCS_Other Data</v>
      </c>
      <c r="L83" s="217" t="str">
        <f t="shared" si="22"/>
        <v>FCCS_No Intercompany</v>
      </c>
      <c r="M83" s="217" t="str">
        <f t="shared" si="23"/>
        <v>No Custom1</v>
      </c>
      <c r="N83" s="217" t="str">
        <f t="shared" si="22"/>
        <v>No Custom2</v>
      </c>
      <c r="O83" s="217" t="s">
        <v>434</v>
      </c>
      <c r="P83" s="217" t="s">
        <v>563</v>
      </c>
      <c r="Q83" s="217" t="str">
        <f t="shared" si="25"/>
        <v>FCCS_ClosingBalance_Input</v>
      </c>
      <c r="R83" s="217" t="str">
        <f t="shared" si="24"/>
        <v>Actual</v>
      </c>
      <c r="S83" s="217" t="str">
        <f t="shared" si="24"/>
        <v>FCCS_YTD_Input</v>
      </c>
      <c r="T83" s="217" t="s">
        <v>850</v>
      </c>
    </row>
    <row r="84" spans="2:20" x14ac:dyDescent="0.3">
      <c r="B84" s="214" t="s">
        <v>667</v>
      </c>
      <c r="C84" s="215" t="s">
        <v>419</v>
      </c>
      <c r="D84" s="216" t="str">
        <f>[2]!HsSetValue(E84,"FCC","Scenario#"&amp;R84&amp;";Years#"&amp;J84&amp;";Period#"&amp;I84&amp;";View#"&amp;S84&amp;";Entity#"&amp;H84&amp;";Data Source#"&amp;K84&amp;";Account#"&amp;F84&amp;";Intercompany#"&amp;L84&amp;";Movement#"&amp;Q84&amp;";Consolidation#"&amp;T84&amp;";Custom1#"&amp;M84&amp;";Custom2#"&amp;N84&amp;";Custom3#"&amp;O84&amp;";Custom4#"&amp;P84&amp;"")</f>
        <v>#Invalid Syntax</v>
      </c>
      <c r="E84" s="216">
        <f>SUMIFS('Investment Analysis'!$H$22:$H$69,'Investment Analysis'!$E$22:$E$69,"Asset-backed Securities-International",'Investment Analysis'!$AB$22:$AB$69,"4")</f>
        <v>0</v>
      </c>
      <c r="F84" s="217" t="s">
        <v>674</v>
      </c>
      <c r="G84" s="217" t="s">
        <v>1046</v>
      </c>
      <c r="H84" s="218" t="e">
        <f t="shared" si="22"/>
        <v>#N/A</v>
      </c>
      <c r="I84" s="218" t="str">
        <f t="shared" si="22"/>
        <v>Jun</v>
      </c>
      <c r="J84" s="217" t="str">
        <f t="shared" si="22"/>
        <v>FY25</v>
      </c>
      <c r="K84" s="217" t="str">
        <f t="shared" si="22"/>
        <v>FCCS_Other Data</v>
      </c>
      <c r="L84" s="217" t="str">
        <f t="shared" si="22"/>
        <v>FCCS_No Intercompany</v>
      </c>
      <c r="M84" s="217" t="str">
        <f t="shared" si="23"/>
        <v>No Custom1</v>
      </c>
      <c r="N84" s="217" t="str">
        <f t="shared" si="22"/>
        <v>No Custom2</v>
      </c>
      <c r="O84" s="217" t="s">
        <v>63</v>
      </c>
      <c r="P84" s="217" t="s">
        <v>563</v>
      </c>
      <c r="Q84" s="217" t="str">
        <f t="shared" si="25"/>
        <v>FCCS_ClosingBalance_Input</v>
      </c>
      <c r="R84" s="217" t="str">
        <f t="shared" si="24"/>
        <v>Actual</v>
      </c>
      <c r="S84" s="217" t="str">
        <f t="shared" si="24"/>
        <v>FCCS_YTD_Input</v>
      </c>
      <c r="T84" s="217" t="s">
        <v>850</v>
      </c>
    </row>
    <row r="85" spans="2:20" x14ac:dyDescent="0.3">
      <c r="B85" s="214" t="s">
        <v>667</v>
      </c>
      <c r="C85" s="215" t="s">
        <v>419</v>
      </c>
      <c r="D85" s="216" t="str">
        <f>[2]!HsSetValue(E85,"FCC","Scenario#"&amp;R85&amp;";Years#"&amp;J85&amp;";Period#"&amp;I85&amp;";View#"&amp;S85&amp;";Entity#"&amp;H85&amp;";Data Source#"&amp;K85&amp;";Account#"&amp;F85&amp;";Intercompany#"&amp;L85&amp;";Movement#"&amp;Q85&amp;";Consolidation#"&amp;T85&amp;";Custom1#"&amp;M85&amp;";Custom2#"&amp;N85&amp;";Custom3#"&amp;O85&amp;";Custom4#"&amp;P85&amp;"")</f>
        <v>#Invalid Syntax</v>
      </c>
      <c r="E85" s="216">
        <f>SUMIFS('Investment Analysis'!$H$22:$H$69,'Investment Analysis'!$E$22:$E$69,"Asset-backed Securities-International",'Investment Analysis'!$AB$22:$AB$69,"3")</f>
        <v>0</v>
      </c>
      <c r="F85" s="217" t="s">
        <v>674</v>
      </c>
      <c r="G85" s="217" t="s">
        <v>1046</v>
      </c>
      <c r="H85" s="218" t="e">
        <f t="shared" si="22"/>
        <v>#N/A</v>
      </c>
      <c r="I85" s="218" t="str">
        <f t="shared" si="22"/>
        <v>Jun</v>
      </c>
      <c r="J85" s="217" t="str">
        <f t="shared" si="22"/>
        <v>FY25</v>
      </c>
      <c r="K85" s="217" t="str">
        <f t="shared" si="22"/>
        <v>FCCS_Other Data</v>
      </c>
      <c r="L85" s="217" t="str">
        <f t="shared" si="22"/>
        <v>FCCS_No Intercompany</v>
      </c>
      <c r="M85" s="217" t="str">
        <f t="shared" si="23"/>
        <v>No Custom1</v>
      </c>
      <c r="N85" s="217" t="str">
        <f t="shared" si="22"/>
        <v>No Custom2</v>
      </c>
      <c r="O85" s="217" t="s">
        <v>622</v>
      </c>
      <c r="P85" s="217" t="s">
        <v>563</v>
      </c>
      <c r="Q85" s="217" t="str">
        <f t="shared" si="25"/>
        <v>FCCS_ClosingBalance_Input</v>
      </c>
      <c r="R85" s="217" t="str">
        <f t="shared" si="24"/>
        <v>Actual</v>
      </c>
      <c r="S85" s="217" t="str">
        <f t="shared" si="24"/>
        <v>FCCS_YTD_Input</v>
      </c>
      <c r="T85" s="217" t="s">
        <v>850</v>
      </c>
    </row>
    <row r="86" spans="2:20" x14ac:dyDescent="0.3">
      <c r="B86" s="214" t="s">
        <v>667</v>
      </c>
      <c r="C86" s="215" t="s">
        <v>419</v>
      </c>
      <c r="D86" s="216" t="str">
        <f>[2]!HsSetValue(E86,"FCC","Scenario#"&amp;R86&amp;";Years#"&amp;J86&amp;";Period#"&amp;I86&amp;";View#"&amp;S86&amp;";Entity#"&amp;H86&amp;";Data Source#"&amp;K86&amp;";Account#"&amp;F86&amp;";Intercompany#"&amp;L86&amp;";Movement#"&amp;Q86&amp;";Consolidation#"&amp;T86&amp;";Custom1#"&amp;M86&amp;";Custom2#"&amp;N86&amp;";Custom3#"&amp;O86&amp;";Custom4#"&amp;P86&amp;"")</f>
        <v>#Invalid Syntax</v>
      </c>
      <c r="E86" s="216">
        <f>SUMIFS('Investment Analysis'!$H$22:$H$69,'Investment Analysis'!$E$22:$E$69,"Asset-backed Securities-International",'Investment Analysis'!$AB$22:$AB$69,"2")</f>
        <v>0</v>
      </c>
      <c r="F86" s="217" t="s">
        <v>674</v>
      </c>
      <c r="G86" s="217" t="s">
        <v>1046</v>
      </c>
      <c r="H86" s="218" t="e">
        <f t="shared" si="22"/>
        <v>#N/A</v>
      </c>
      <c r="I86" s="218" t="str">
        <f t="shared" si="22"/>
        <v>Jun</v>
      </c>
      <c r="J86" s="217" t="str">
        <f t="shared" si="22"/>
        <v>FY25</v>
      </c>
      <c r="K86" s="217" t="str">
        <f t="shared" si="22"/>
        <v>FCCS_Other Data</v>
      </c>
      <c r="L86" s="217" t="str">
        <f t="shared" si="22"/>
        <v>FCCS_No Intercompany</v>
      </c>
      <c r="M86" s="217" t="str">
        <f t="shared" si="23"/>
        <v>No Custom1</v>
      </c>
      <c r="N86" s="217" t="str">
        <f t="shared" si="22"/>
        <v>No Custom2</v>
      </c>
      <c r="O86" s="217" t="s">
        <v>618</v>
      </c>
      <c r="P86" s="217" t="s">
        <v>563</v>
      </c>
      <c r="Q86" s="217" t="str">
        <f t="shared" si="25"/>
        <v>FCCS_ClosingBalance_Input</v>
      </c>
      <c r="R86" s="217" t="str">
        <f t="shared" si="24"/>
        <v>Actual</v>
      </c>
      <c r="S86" s="217" t="str">
        <f t="shared" si="24"/>
        <v>FCCS_YTD_Input</v>
      </c>
      <c r="T86" s="217" t="s">
        <v>850</v>
      </c>
    </row>
    <row r="87" spans="2:20" x14ac:dyDescent="0.3">
      <c r="B87" s="214" t="s">
        <v>667</v>
      </c>
      <c r="C87" s="215" t="s">
        <v>419</v>
      </c>
      <c r="D87" s="216" t="str">
        <f>[2]!HsSetValue(E87,"FCC","Scenario#"&amp;R87&amp;";Years#"&amp;J87&amp;";Period#"&amp;I87&amp;";View#"&amp;S87&amp;";Entity#"&amp;H87&amp;";Data Source#"&amp;K87&amp;";Account#"&amp;F87&amp;";Intercompany#"&amp;L87&amp;";Movement#"&amp;Q87&amp;";Consolidation#"&amp;T87&amp;";Custom1#"&amp;M87&amp;";Custom2#"&amp;N87&amp;";Custom3#"&amp;O87&amp;";Custom4#"&amp;P87&amp;"")</f>
        <v>#Invalid Syntax</v>
      </c>
      <c r="E87" s="216">
        <f>SUMIFS('Investment Analysis'!$H$22:$H$69,'Investment Analysis'!$E$22:$E$69,"Asset-backed Securities-International",'Investment Analysis'!$AB$22:$AB$69,"1")</f>
        <v>0</v>
      </c>
      <c r="F87" s="217" t="s">
        <v>674</v>
      </c>
      <c r="G87" s="217" t="s">
        <v>1046</v>
      </c>
      <c r="H87" s="218" t="e">
        <f t="shared" si="22"/>
        <v>#N/A</v>
      </c>
      <c r="I87" s="218" t="str">
        <f t="shared" si="22"/>
        <v>Jun</v>
      </c>
      <c r="J87" s="217" t="str">
        <f t="shared" si="22"/>
        <v>FY25</v>
      </c>
      <c r="K87" s="217" t="str">
        <f t="shared" si="22"/>
        <v>FCCS_Other Data</v>
      </c>
      <c r="L87" s="217" t="str">
        <f t="shared" si="22"/>
        <v>FCCS_No Intercompany</v>
      </c>
      <c r="M87" s="217" t="str">
        <f t="shared" si="23"/>
        <v>No Custom1</v>
      </c>
      <c r="N87" s="217" t="str">
        <f t="shared" si="22"/>
        <v>No Custom2</v>
      </c>
      <c r="O87" s="217" t="s">
        <v>64</v>
      </c>
      <c r="P87" s="217" t="s">
        <v>563</v>
      </c>
      <c r="Q87" s="217" t="str">
        <f t="shared" si="25"/>
        <v>FCCS_ClosingBalance_Input</v>
      </c>
      <c r="R87" s="217" t="str">
        <f t="shared" si="24"/>
        <v>Actual</v>
      </c>
      <c r="S87" s="217" t="str">
        <f t="shared" si="24"/>
        <v>FCCS_YTD_Input</v>
      </c>
      <c r="T87" s="217" t="s">
        <v>850</v>
      </c>
    </row>
    <row r="88" spans="2:20" x14ac:dyDescent="0.3">
      <c r="B88" s="214" t="s">
        <v>667</v>
      </c>
      <c r="C88" s="215" t="s">
        <v>419</v>
      </c>
      <c r="D88" s="216" t="str">
        <f>[2]!HsSetValue(E88,"FCC","Scenario#"&amp;R88&amp;";Years#"&amp;J88&amp;";Period#"&amp;I88&amp;";View#"&amp;S88&amp;";Entity#"&amp;H88&amp;";Data Source#"&amp;K88&amp;";Account#"&amp;F88&amp;";Intercompany#"&amp;L88&amp;";Movement#"&amp;Q88&amp;";Consolidation#"&amp;T88&amp;";Custom1#"&amp;M88&amp;";Custom2#"&amp;N88&amp;";Custom3#"&amp;O88&amp;";Custom4#"&amp;P88&amp;"")</f>
        <v>#Invalid Syntax</v>
      </c>
      <c r="E88" s="216">
        <f>SUMIFS('Investment Analysis'!$H$22:$H$69,'Investment Analysis'!$E$22:$E$69,"Asset-backed Securities-International",'Investment Analysis'!$AI$22:$AI$69,"16")</f>
        <v>0</v>
      </c>
      <c r="F88" s="217" t="s">
        <v>674</v>
      </c>
      <c r="G88" s="217" t="s">
        <v>1046</v>
      </c>
      <c r="H88" s="218" t="e">
        <f t="shared" si="22"/>
        <v>#N/A</v>
      </c>
      <c r="I88" s="218" t="str">
        <f t="shared" si="22"/>
        <v>Jun</v>
      </c>
      <c r="J88" s="217" t="str">
        <f t="shared" si="22"/>
        <v>FY25</v>
      </c>
      <c r="K88" s="217" t="str">
        <f t="shared" si="22"/>
        <v>FCCS_Other Data</v>
      </c>
      <c r="L88" s="217" t="str">
        <f t="shared" si="22"/>
        <v>FCCS_No Intercompany</v>
      </c>
      <c r="M88" s="217" t="str">
        <f t="shared" si="23"/>
        <v>No Custom1</v>
      </c>
      <c r="N88" s="217" t="str">
        <f t="shared" si="22"/>
        <v>No Custom2</v>
      </c>
      <c r="O88" s="217" t="s">
        <v>726</v>
      </c>
      <c r="P88" s="217" t="s">
        <v>563</v>
      </c>
      <c r="Q88" s="217" t="str">
        <f t="shared" si="25"/>
        <v>FCCS_ClosingBalance_Input</v>
      </c>
      <c r="R88" s="217" t="str">
        <f t="shared" si="24"/>
        <v>Actual</v>
      </c>
      <c r="S88" s="217" t="str">
        <f t="shared" si="24"/>
        <v>FCCS_YTD_Input</v>
      </c>
      <c r="T88" s="217" t="s">
        <v>850</v>
      </c>
    </row>
    <row r="89" spans="2:20" x14ac:dyDescent="0.3">
      <c r="B89" s="214" t="s">
        <v>667</v>
      </c>
      <c r="C89" s="215" t="s">
        <v>419</v>
      </c>
      <c r="D89" s="216" t="str">
        <f>[2]!HsSetValue(E89,"FCC","Scenario#"&amp;R89&amp;";Years#"&amp;J89&amp;";Period#"&amp;I89&amp;";View#"&amp;S89&amp;";Entity#"&amp;H89&amp;";Data Source#"&amp;K89&amp;";Account#"&amp;F89&amp;";Intercompany#"&amp;L89&amp;";Movement#"&amp;Q89&amp;";Consolidation#"&amp;T89&amp;";Custom1#"&amp;M89&amp;";Custom2#"&amp;N89&amp;";Custom3#"&amp;O89&amp;";Custom4#"&amp;P89&amp;"")</f>
        <v>#Invalid Syntax</v>
      </c>
      <c r="E89" s="216">
        <f>SUMIFS('Investment Analysis'!$H$22:$H$69,'Investment Analysis'!$E$22:$E$69,"Asset-backed Securities-International",'Investment Analysis'!$AI$22:$AI$69,"15")</f>
        <v>0</v>
      </c>
      <c r="F89" s="217" t="s">
        <v>674</v>
      </c>
      <c r="G89" s="217" t="s">
        <v>1046</v>
      </c>
      <c r="H89" s="218" t="e">
        <f t="shared" si="22"/>
        <v>#N/A</v>
      </c>
      <c r="I89" s="218" t="str">
        <f t="shared" si="22"/>
        <v>Jun</v>
      </c>
      <c r="J89" s="217" t="str">
        <f t="shared" si="22"/>
        <v>FY25</v>
      </c>
      <c r="K89" s="217" t="str">
        <f t="shared" si="22"/>
        <v>FCCS_Other Data</v>
      </c>
      <c r="L89" s="217" t="str">
        <f t="shared" si="22"/>
        <v>FCCS_No Intercompany</v>
      </c>
      <c r="M89" s="217" t="str">
        <f t="shared" si="23"/>
        <v>No Custom1</v>
      </c>
      <c r="N89" s="217" t="str">
        <f t="shared" si="22"/>
        <v>No Custom2</v>
      </c>
      <c r="O89" s="217" t="s">
        <v>727</v>
      </c>
      <c r="P89" s="217" t="s">
        <v>563</v>
      </c>
      <c r="Q89" s="217" t="str">
        <f t="shared" si="25"/>
        <v>FCCS_ClosingBalance_Input</v>
      </c>
      <c r="R89" s="217" t="str">
        <f t="shared" si="24"/>
        <v>Actual</v>
      </c>
      <c r="S89" s="217" t="str">
        <f t="shared" si="24"/>
        <v>FCCS_YTD_Input</v>
      </c>
      <c r="T89" s="217" t="s">
        <v>850</v>
      </c>
    </row>
    <row r="90" spans="2:20" x14ac:dyDescent="0.3">
      <c r="B90" s="214" t="s">
        <v>667</v>
      </c>
      <c r="C90" s="215" t="s">
        <v>419</v>
      </c>
      <c r="D90" s="216" t="str">
        <f>[2]!HsSetValue(E90,"FCC","Scenario#"&amp;R90&amp;";Years#"&amp;J90&amp;";Period#"&amp;I90&amp;";View#"&amp;S90&amp;";Entity#"&amp;H90&amp;";Data Source#"&amp;K90&amp;";Account#"&amp;F90&amp;";Intercompany#"&amp;L90&amp;";Movement#"&amp;Q90&amp;";Consolidation#"&amp;T90&amp;";Custom1#"&amp;M90&amp;";Custom2#"&amp;N90&amp;";Custom3#"&amp;O90&amp;";Custom4#"&amp;P90&amp;"")</f>
        <v>#Invalid Syntax</v>
      </c>
      <c r="E90" s="216">
        <f>SUMIFS('Investment Analysis'!$H$22:$H$69,'Investment Analysis'!$E$22:$E$69,"Asset-backed Securities-International",'Investment Analysis'!$AI$22:$AI$69,"14")</f>
        <v>0</v>
      </c>
      <c r="F90" s="217" t="s">
        <v>674</v>
      </c>
      <c r="G90" s="217" t="s">
        <v>1046</v>
      </c>
      <c r="H90" s="218" t="e">
        <f t="shared" si="22"/>
        <v>#N/A</v>
      </c>
      <c r="I90" s="218" t="str">
        <f t="shared" si="22"/>
        <v>Jun</v>
      </c>
      <c r="J90" s="217" t="str">
        <f t="shared" si="22"/>
        <v>FY25</v>
      </c>
      <c r="K90" s="217" t="str">
        <f t="shared" si="22"/>
        <v>FCCS_Other Data</v>
      </c>
      <c r="L90" s="217" t="str">
        <f t="shared" si="22"/>
        <v>FCCS_No Intercompany</v>
      </c>
      <c r="M90" s="217" t="str">
        <f t="shared" si="23"/>
        <v>No Custom1</v>
      </c>
      <c r="N90" s="217" t="str">
        <f t="shared" si="22"/>
        <v>No Custom2</v>
      </c>
      <c r="O90" s="217" t="s">
        <v>728</v>
      </c>
      <c r="P90" s="217" t="s">
        <v>563</v>
      </c>
      <c r="Q90" s="217" t="str">
        <f t="shared" si="25"/>
        <v>FCCS_ClosingBalance_Input</v>
      </c>
      <c r="R90" s="217" t="str">
        <f t="shared" si="24"/>
        <v>Actual</v>
      </c>
      <c r="S90" s="217" t="str">
        <f t="shared" si="24"/>
        <v>FCCS_YTD_Input</v>
      </c>
      <c r="T90" s="217" t="s">
        <v>850</v>
      </c>
    </row>
    <row r="91" spans="2:20" x14ac:dyDescent="0.3">
      <c r="B91" s="214" t="s">
        <v>667</v>
      </c>
      <c r="C91" s="215" t="s">
        <v>419</v>
      </c>
      <c r="D91" s="216" t="str">
        <f>[2]!HsSetValue(E91,"FCC","Scenario#"&amp;R91&amp;";Years#"&amp;J91&amp;";Period#"&amp;I91&amp;";View#"&amp;S91&amp;";Entity#"&amp;H91&amp;";Data Source#"&amp;K91&amp;";Account#"&amp;F91&amp;";Intercompany#"&amp;L91&amp;";Movement#"&amp;Q91&amp;";Consolidation#"&amp;T91&amp;";Custom1#"&amp;M91&amp;";Custom2#"&amp;N91&amp;";Custom3#"&amp;O91&amp;";Custom4#"&amp;P91&amp;"")</f>
        <v>#Invalid Syntax</v>
      </c>
      <c r="E91" s="216">
        <f>SUMIFS('Investment Analysis'!$H$22:$H$69,'Investment Analysis'!$E$22:$E$69,"Asset-backed Securities-International",'Investment Analysis'!$AB$22:$AB$69,"0")+SUMIFS('Investment Analysis'!$H$22:$H$69,'Investment Analysis'!$E$22:$E$69,"Asset-backed Securities-International",'Investment Analysis'!$AI$22:$AI$69,"0")</f>
        <v>0</v>
      </c>
      <c r="F91" s="217" t="s">
        <v>674</v>
      </c>
      <c r="G91" s="217" t="s">
        <v>1046</v>
      </c>
      <c r="H91" s="218" t="e">
        <f t="shared" si="22"/>
        <v>#N/A</v>
      </c>
      <c r="I91" s="218" t="str">
        <f t="shared" si="22"/>
        <v>Jun</v>
      </c>
      <c r="J91" s="217" t="str">
        <f t="shared" si="22"/>
        <v>FY25</v>
      </c>
      <c r="K91" s="217" t="str">
        <f t="shared" si="22"/>
        <v>FCCS_Other Data</v>
      </c>
      <c r="L91" s="217" t="str">
        <f t="shared" si="22"/>
        <v>FCCS_No Intercompany</v>
      </c>
      <c r="M91" s="217" t="str">
        <f t="shared" si="23"/>
        <v>No Custom1</v>
      </c>
      <c r="N91" s="217" t="str">
        <f t="shared" si="22"/>
        <v>No Custom2</v>
      </c>
      <c r="O91" s="217" t="s">
        <v>609</v>
      </c>
      <c r="P91" s="217" t="s">
        <v>563</v>
      </c>
      <c r="Q91" s="217" t="str">
        <f t="shared" si="25"/>
        <v>FCCS_ClosingBalance_Input</v>
      </c>
      <c r="R91" s="217" t="str">
        <f t="shared" si="24"/>
        <v>Actual</v>
      </c>
      <c r="S91" s="217" t="str">
        <f t="shared" si="24"/>
        <v>FCCS_YTD_Input</v>
      </c>
      <c r="T91" s="217" t="s">
        <v>850</v>
      </c>
    </row>
    <row r="92" spans="2:20" x14ac:dyDescent="0.3">
      <c r="B92" s="210"/>
      <c r="C92" s="211"/>
      <c r="D92" s="212"/>
      <c r="E92" s="212"/>
    </row>
    <row r="93" spans="2:20" x14ac:dyDescent="0.3">
      <c r="B93" s="219" t="s">
        <v>1014</v>
      </c>
      <c r="C93" s="220" t="s">
        <v>419</v>
      </c>
      <c r="D93" s="221" t="str">
        <f>[2]!HsSetValue(E93,"FCC","Scenario#"&amp;R93&amp;";Years#"&amp;J93&amp;";Period#"&amp;I93&amp;";View#"&amp;S93&amp;";Entity#"&amp;H93&amp;";Data Source#"&amp;K93&amp;";Account#"&amp;F93&amp;";Intercompany#"&amp;L93&amp;";Movement#"&amp;Q93&amp;";Consolidation#"&amp;T93&amp;";Custom1#"&amp;M93&amp;";Custom2#"&amp;N93&amp;";Custom3#"&amp;O93&amp;";Custom4#"&amp;P93&amp;"")</f>
        <v>#Invalid Syntax</v>
      </c>
      <c r="E93" s="221">
        <f>SUMIFS('Investment Analysis'!$H$22:$H$69,'Investment Analysis'!$E$22:$E$69,"Asset-backed Securities-International",'Investment Analysis'!$AK$22:$AK$69,"21")</f>
        <v>0</v>
      </c>
      <c r="F93" s="222" t="s">
        <v>675</v>
      </c>
      <c r="G93" s="222" t="s">
        <v>1016</v>
      </c>
      <c r="H93" s="223" t="e">
        <f>+H$2</f>
        <v>#N/A</v>
      </c>
      <c r="I93" s="223" t="str">
        <f t="shared" ref="I93:I97" si="26">+I$2</f>
        <v>Jun</v>
      </c>
      <c r="J93" s="222" t="str">
        <f>+J$2</f>
        <v>FY25</v>
      </c>
      <c r="K93" s="222" t="s">
        <v>843</v>
      </c>
      <c r="L93" s="222" t="s">
        <v>844</v>
      </c>
      <c r="M93" s="222" t="s">
        <v>845</v>
      </c>
      <c r="N93" s="222" t="s">
        <v>846</v>
      </c>
      <c r="O93" s="222" t="s">
        <v>729</v>
      </c>
      <c r="P93" s="222" t="s">
        <v>563</v>
      </c>
      <c r="Q93" s="222" t="str">
        <f t="shared" ref="Q93:Q97" si="27">Q$2</f>
        <v>FCCS_ClosingBalance_Input</v>
      </c>
      <c r="R93" s="222" t="s">
        <v>169</v>
      </c>
      <c r="S93" s="222" t="s">
        <v>848</v>
      </c>
      <c r="T93" s="222" t="s">
        <v>850</v>
      </c>
    </row>
    <row r="94" spans="2:20" x14ac:dyDescent="0.3">
      <c r="B94" s="219" t="s">
        <v>1014</v>
      </c>
      <c r="C94" s="220" t="s">
        <v>419</v>
      </c>
      <c r="D94" s="221" t="str">
        <f>[2]!HsSetValue(E94,"FCC","Scenario#"&amp;R94&amp;";Years#"&amp;J94&amp;";Period#"&amp;I94&amp;";View#"&amp;S94&amp;";Entity#"&amp;H94&amp;";Data Source#"&amp;K94&amp;";Account#"&amp;F94&amp;";Intercompany#"&amp;L94&amp;";Movement#"&amp;Q94&amp;";Consolidation#"&amp;T94&amp;";Custom1#"&amp;M94&amp;";Custom2#"&amp;N94&amp;";Custom3#"&amp;O94&amp;";Custom4#"&amp;P94&amp;"")</f>
        <v>#Invalid Syntax</v>
      </c>
      <c r="E94" s="221">
        <f>SUMIFS('Investment Analysis'!$H$22:$H$69,'Investment Analysis'!$E$22:$E$69,"Asset-backed Securities-International",'Investment Analysis'!$AK$22:$AK$69,"22")</f>
        <v>0</v>
      </c>
      <c r="F94" s="222" t="s">
        <v>675</v>
      </c>
      <c r="G94" s="222" t="s">
        <v>1016</v>
      </c>
      <c r="H94" s="223" t="e">
        <f>+H$2</f>
        <v>#N/A</v>
      </c>
      <c r="I94" s="223" t="str">
        <f t="shared" si="26"/>
        <v>Jun</v>
      </c>
      <c r="J94" s="222" t="str">
        <f>+J$2</f>
        <v>FY25</v>
      </c>
      <c r="K94" s="222" t="str">
        <f t="shared" ref="K94:N97" si="28">+K$2</f>
        <v>FCCS_Other Data</v>
      </c>
      <c r="L94" s="222" t="str">
        <f t="shared" si="28"/>
        <v>FCCS_No Intercompany</v>
      </c>
      <c r="M94" s="222" t="str">
        <f>+M$1</f>
        <v>No Custom1</v>
      </c>
      <c r="N94" s="222" t="str">
        <f t="shared" si="28"/>
        <v>No Custom2</v>
      </c>
      <c r="O94" s="222" t="s">
        <v>730</v>
      </c>
      <c r="P94" s="222" t="s">
        <v>563</v>
      </c>
      <c r="Q94" s="222" t="str">
        <f t="shared" si="27"/>
        <v>FCCS_ClosingBalance_Input</v>
      </c>
      <c r="R94" s="222" t="str">
        <f t="shared" ref="R94:S97" si="29">+R$2</f>
        <v>Actual</v>
      </c>
      <c r="S94" s="222" t="str">
        <f t="shared" si="29"/>
        <v>FCCS_YTD_Input</v>
      </c>
      <c r="T94" s="222" t="s">
        <v>850</v>
      </c>
    </row>
    <row r="95" spans="2:20" x14ac:dyDescent="0.3">
      <c r="B95" s="219" t="s">
        <v>1014</v>
      </c>
      <c r="C95" s="220" t="s">
        <v>419</v>
      </c>
      <c r="D95" s="221" t="str">
        <f>[2]!HsSetValue(E95,"FCC","Scenario#"&amp;R95&amp;";Years#"&amp;J95&amp;";Period#"&amp;I95&amp;";View#"&amp;S95&amp;";Entity#"&amp;H95&amp;";Data Source#"&amp;K95&amp;";Account#"&amp;F95&amp;";Intercompany#"&amp;L95&amp;";Movement#"&amp;Q95&amp;";Consolidation#"&amp;T95&amp;";Custom1#"&amp;M95&amp;";Custom2#"&amp;N95&amp;";Custom3#"&amp;O95&amp;";Custom4#"&amp;P95&amp;"")</f>
        <v>#Invalid Syntax</v>
      </c>
      <c r="E95" s="221">
        <f>SUMIFS('Investment Analysis'!$H$22:$H$69,'Investment Analysis'!$E$22:$E$69,"Asset-backed Securities-International",'Investment Analysis'!$AK$22:$AK$69,"23")</f>
        <v>0</v>
      </c>
      <c r="F95" s="222" t="s">
        <v>675</v>
      </c>
      <c r="G95" s="222" t="s">
        <v>1016</v>
      </c>
      <c r="H95" s="223" t="e">
        <f>+H$2</f>
        <v>#N/A</v>
      </c>
      <c r="I95" s="223" t="str">
        <f t="shared" si="26"/>
        <v>Jun</v>
      </c>
      <c r="J95" s="222" t="str">
        <f>+J$2</f>
        <v>FY25</v>
      </c>
      <c r="K95" s="222" t="str">
        <f t="shared" si="28"/>
        <v>FCCS_Other Data</v>
      </c>
      <c r="L95" s="222" t="str">
        <f t="shared" si="28"/>
        <v>FCCS_No Intercompany</v>
      </c>
      <c r="M95" s="222" t="str">
        <f>+M$1</f>
        <v>No Custom1</v>
      </c>
      <c r="N95" s="222" t="str">
        <f t="shared" si="28"/>
        <v>No Custom2</v>
      </c>
      <c r="O95" s="222" t="s">
        <v>731</v>
      </c>
      <c r="P95" s="222" t="s">
        <v>563</v>
      </c>
      <c r="Q95" s="222" t="str">
        <f t="shared" si="27"/>
        <v>FCCS_ClosingBalance_Input</v>
      </c>
      <c r="R95" s="222" t="str">
        <f t="shared" si="29"/>
        <v>Actual</v>
      </c>
      <c r="S95" s="222" t="str">
        <f t="shared" si="29"/>
        <v>FCCS_YTD_Input</v>
      </c>
      <c r="T95" s="222" t="s">
        <v>850</v>
      </c>
    </row>
    <row r="96" spans="2:20" x14ac:dyDescent="0.3">
      <c r="B96" s="219" t="s">
        <v>1014</v>
      </c>
      <c r="C96" s="220" t="s">
        <v>419</v>
      </c>
      <c r="D96" s="221" t="str">
        <f>[2]!HsSetValue(E96,"FCC","Scenario#"&amp;R96&amp;";Years#"&amp;J96&amp;";Period#"&amp;I96&amp;";View#"&amp;S96&amp;";Entity#"&amp;H96&amp;";Data Source#"&amp;K96&amp;";Account#"&amp;F96&amp;";Intercompany#"&amp;L96&amp;";Movement#"&amp;Q96&amp;";Consolidation#"&amp;T96&amp;";Custom1#"&amp;M96&amp;";Custom2#"&amp;N96&amp;";Custom3#"&amp;O96&amp;";Custom4#"&amp;P96&amp;"")</f>
        <v>#Invalid Syntax</v>
      </c>
      <c r="E96" s="221">
        <f>SUMIFS('Investment Analysis'!$H$22:$H$69,'Investment Analysis'!$E$22:$E$69,"Asset-backed Securities-International",'Investment Analysis'!$AK$22:$AK$69,"24")</f>
        <v>0</v>
      </c>
      <c r="F96" s="222" t="s">
        <v>675</v>
      </c>
      <c r="G96" s="222" t="s">
        <v>1016</v>
      </c>
      <c r="H96" s="223" t="e">
        <f>+H$2</f>
        <v>#N/A</v>
      </c>
      <c r="I96" s="223" t="str">
        <f t="shared" si="26"/>
        <v>Jun</v>
      </c>
      <c r="J96" s="222" t="str">
        <f>+J$2</f>
        <v>FY25</v>
      </c>
      <c r="K96" s="222" t="str">
        <f t="shared" si="28"/>
        <v>FCCS_Other Data</v>
      </c>
      <c r="L96" s="222" t="str">
        <f t="shared" si="28"/>
        <v>FCCS_No Intercompany</v>
      </c>
      <c r="M96" s="222" t="str">
        <f>+M$1</f>
        <v>No Custom1</v>
      </c>
      <c r="N96" s="222" t="str">
        <f t="shared" si="28"/>
        <v>No Custom2</v>
      </c>
      <c r="O96" s="222" t="s">
        <v>732</v>
      </c>
      <c r="P96" s="222" t="s">
        <v>563</v>
      </c>
      <c r="Q96" s="222" t="str">
        <f t="shared" si="27"/>
        <v>FCCS_ClosingBalance_Input</v>
      </c>
      <c r="R96" s="222" t="str">
        <f t="shared" si="29"/>
        <v>Actual</v>
      </c>
      <c r="S96" s="222" t="str">
        <f t="shared" si="29"/>
        <v>FCCS_YTD_Input</v>
      </c>
      <c r="T96" s="222" t="s">
        <v>850</v>
      </c>
    </row>
    <row r="97" spans="2:20" x14ac:dyDescent="0.3">
      <c r="B97" s="219" t="s">
        <v>1014</v>
      </c>
      <c r="C97" s="220" t="s">
        <v>419</v>
      </c>
      <c r="D97" s="221" t="str">
        <f>[2]!HsSetValue(E97,"FCC","Scenario#"&amp;R97&amp;";Years#"&amp;J97&amp;";Period#"&amp;I97&amp;";View#"&amp;S97&amp;";Entity#"&amp;H97&amp;";Data Source#"&amp;K97&amp;";Account#"&amp;F97&amp;";Intercompany#"&amp;L97&amp;";Movement#"&amp;Q97&amp;";Consolidation#"&amp;T97&amp;";Custom1#"&amp;M97&amp;";Custom2#"&amp;N97&amp;";Custom3#"&amp;O97&amp;";Custom4#"&amp;P97&amp;"")</f>
        <v>#Invalid Syntax</v>
      </c>
      <c r="E97" s="221">
        <f>SUMIFS('Investment Analysis'!$H$22:$H$69,'Investment Analysis'!$E$22:$E$69,"Asset-backed Securities-International",'Investment Analysis'!$AK$22:$AK$69,"25")</f>
        <v>0</v>
      </c>
      <c r="F97" s="222" t="s">
        <v>675</v>
      </c>
      <c r="G97" s="222" t="s">
        <v>1016</v>
      </c>
      <c r="H97" s="223" t="e">
        <f>+H$2</f>
        <v>#N/A</v>
      </c>
      <c r="I97" s="223" t="str">
        <f t="shared" si="26"/>
        <v>Jun</v>
      </c>
      <c r="J97" s="222" t="str">
        <f>+J$2</f>
        <v>FY25</v>
      </c>
      <c r="K97" s="222" t="str">
        <f t="shared" si="28"/>
        <v>FCCS_Other Data</v>
      </c>
      <c r="L97" s="222" t="str">
        <f t="shared" si="28"/>
        <v>FCCS_No Intercompany</v>
      </c>
      <c r="M97" s="222" t="str">
        <f>+M$1</f>
        <v>No Custom1</v>
      </c>
      <c r="N97" s="222" t="str">
        <f t="shared" si="28"/>
        <v>No Custom2</v>
      </c>
      <c r="O97" s="222" t="s">
        <v>733</v>
      </c>
      <c r="P97" s="222" t="s">
        <v>563</v>
      </c>
      <c r="Q97" s="222" t="str">
        <f t="shared" si="27"/>
        <v>FCCS_ClosingBalance_Input</v>
      </c>
      <c r="R97" s="222" t="str">
        <f t="shared" si="29"/>
        <v>Actual</v>
      </c>
      <c r="S97" s="222" t="str">
        <f t="shared" si="29"/>
        <v>FCCS_YTD_Input</v>
      </c>
      <c r="T97" s="222" t="s">
        <v>850</v>
      </c>
    </row>
    <row r="99" spans="2:20" x14ac:dyDescent="0.3">
      <c r="B99" s="364" t="s">
        <v>668</v>
      </c>
      <c r="C99" s="365" t="s">
        <v>405</v>
      </c>
      <c r="D99" s="366" t="str">
        <f>[2]!HsSetValue(E99,"FCC","Scenario#"&amp;R99&amp;";Years#"&amp;J99&amp;";Period#"&amp;I99&amp;";View#"&amp;S99&amp;";Entity#"&amp;H99&amp;";Data Source#"&amp;K99&amp;";Account#"&amp;F99&amp;";Intercompany#"&amp;L99&amp;";Movement#"&amp;Q99&amp;";Consolidation#"&amp;T99&amp;";Custom1#"&amp;M99&amp;";Custom2#"&amp;N99&amp;";Custom3#"&amp;O99&amp;";Custom4#"&amp;P99&amp;"")</f>
        <v>#Invalid Syntax</v>
      </c>
      <c r="E99" s="366">
        <f>SUMIF('Investment Analysis'!$E$22:$E$69,'FCC Investments - Load Tab'!C99,'Investment Analysis'!$K$22:$K$69)</f>
        <v>0</v>
      </c>
      <c r="F99" s="367" t="s">
        <v>673</v>
      </c>
      <c r="G99" s="367" t="s">
        <v>686</v>
      </c>
      <c r="H99" s="368" t="e">
        <f>+H$2</f>
        <v>#N/A</v>
      </c>
      <c r="I99" s="368" t="str">
        <f t="shared" ref="I99:I103" si="30">+I$2</f>
        <v>Jun</v>
      </c>
      <c r="J99" s="367" t="str">
        <f>+J$2</f>
        <v>FY25</v>
      </c>
      <c r="K99" s="367" t="s">
        <v>843</v>
      </c>
      <c r="L99" s="367" t="s">
        <v>844</v>
      </c>
      <c r="M99" s="367" t="s">
        <v>845</v>
      </c>
      <c r="N99" s="367" t="s">
        <v>846</v>
      </c>
      <c r="O99" s="367" t="s">
        <v>721</v>
      </c>
      <c r="P99" s="367" t="s">
        <v>564</v>
      </c>
      <c r="Q99" s="367" t="str">
        <f t="shared" ref="Q99:Q103" si="31">Q$2</f>
        <v>FCCS_ClosingBalance_Input</v>
      </c>
      <c r="R99" s="367" t="s">
        <v>169</v>
      </c>
      <c r="S99" s="367" t="s">
        <v>848</v>
      </c>
      <c r="T99" s="367" t="s">
        <v>850</v>
      </c>
    </row>
    <row r="100" spans="2:20" x14ac:dyDescent="0.3">
      <c r="B100" s="364" t="s">
        <v>668</v>
      </c>
      <c r="C100" s="365" t="s">
        <v>405</v>
      </c>
      <c r="D100" s="366" t="str">
        <f>[2]!HsSetValue(E100,"FCC","Scenario#"&amp;R100&amp;";Years#"&amp;J100&amp;";Period#"&amp;I100&amp;";View#"&amp;S100&amp;";Entity#"&amp;H100&amp;";Data Source#"&amp;K100&amp;";Account#"&amp;F100&amp;";Intercompany#"&amp;L100&amp;";Movement#"&amp;Q100&amp;";Consolidation#"&amp;T100&amp;";Custom1#"&amp;M100&amp;";Custom2#"&amp;N100&amp;";Custom3#"&amp;O100&amp;";Custom4#"&amp;P100&amp;"")</f>
        <v>#Invalid Syntax</v>
      </c>
      <c r="E100" s="366">
        <f>SUMIF('Investment Analysis'!$E$22:$E$69,'FCC Investments - Load Tab'!C99,'Investment Analysis'!$L$22:$L$69)</f>
        <v>0</v>
      </c>
      <c r="F100" s="367" t="s">
        <v>673</v>
      </c>
      <c r="G100" s="367" t="s">
        <v>686</v>
      </c>
      <c r="H100" s="368" t="e">
        <f>+H$2</f>
        <v>#N/A</v>
      </c>
      <c r="I100" s="368" t="str">
        <f t="shared" si="30"/>
        <v>Jun</v>
      </c>
      <c r="J100" s="367" t="str">
        <f>+J$2</f>
        <v>FY25</v>
      </c>
      <c r="K100" s="367" t="str">
        <f t="shared" ref="K100:N103" si="32">+K$2</f>
        <v>FCCS_Other Data</v>
      </c>
      <c r="L100" s="367" t="str">
        <f t="shared" si="32"/>
        <v>FCCS_No Intercompany</v>
      </c>
      <c r="M100" s="367" t="str">
        <f>+M$1</f>
        <v>No Custom1</v>
      </c>
      <c r="N100" s="367" t="str">
        <f t="shared" si="32"/>
        <v>No Custom2</v>
      </c>
      <c r="O100" s="367" t="s">
        <v>722</v>
      </c>
      <c r="P100" s="367" t="s">
        <v>564</v>
      </c>
      <c r="Q100" s="367" t="str">
        <f t="shared" si="31"/>
        <v>FCCS_ClosingBalance_Input</v>
      </c>
      <c r="R100" s="367" t="str">
        <f t="shared" ref="R100:S103" si="33">+R$2</f>
        <v>Actual</v>
      </c>
      <c r="S100" s="367" t="str">
        <f t="shared" si="33"/>
        <v>FCCS_YTD_Input</v>
      </c>
      <c r="T100" s="367" t="s">
        <v>850</v>
      </c>
    </row>
    <row r="101" spans="2:20" x14ac:dyDescent="0.3">
      <c r="B101" s="364" t="s">
        <v>668</v>
      </c>
      <c r="C101" s="365" t="s">
        <v>405</v>
      </c>
      <c r="D101" s="366" t="str">
        <f>[2]!HsSetValue(E101,"FCC","Scenario#"&amp;R101&amp;";Years#"&amp;J101&amp;";Period#"&amp;I101&amp;";View#"&amp;S101&amp;";Entity#"&amp;H101&amp;";Data Source#"&amp;K101&amp;";Account#"&amp;F101&amp;";Intercompany#"&amp;L101&amp;";Movement#"&amp;Q101&amp;";Consolidation#"&amp;T101&amp;";Custom1#"&amp;M101&amp;";Custom2#"&amp;N101&amp;";Custom3#"&amp;O101&amp;";Custom4#"&amp;P101&amp;"")</f>
        <v>#Invalid Syntax</v>
      </c>
      <c r="E101" s="366">
        <f>SUMIF('Investment Analysis'!$E$22:$E$69,'FCC Investments - Load Tab'!C99,'Investment Analysis'!$M$22:$M$69)</f>
        <v>0</v>
      </c>
      <c r="F101" s="367" t="s">
        <v>673</v>
      </c>
      <c r="G101" s="367" t="s">
        <v>686</v>
      </c>
      <c r="H101" s="368" t="e">
        <f>+H$2</f>
        <v>#N/A</v>
      </c>
      <c r="I101" s="368" t="str">
        <f t="shared" si="30"/>
        <v>Jun</v>
      </c>
      <c r="J101" s="367" t="str">
        <f>+J$2</f>
        <v>FY25</v>
      </c>
      <c r="K101" s="367" t="str">
        <f t="shared" si="32"/>
        <v>FCCS_Other Data</v>
      </c>
      <c r="L101" s="367" t="str">
        <f t="shared" si="32"/>
        <v>FCCS_No Intercompany</v>
      </c>
      <c r="M101" s="367" t="str">
        <f>+M$1</f>
        <v>No Custom1</v>
      </c>
      <c r="N101" s="367" t="str">
        <f t="shared" si="32"/>
        <v>No Custom2</v>
      </c>
      <c r="O101" s="367" t="s">
        <v>723</v>
      </c>
      <c r="P101" s="367" t="s">
        <v>564</v>
      </c>
      <c r="Q101" s="367" t="str">
        <f t="shared" si="31"/>
        <v>FCCS_ClosingBalance_Input</v>
      </c>
      <c r="R101" s="367" t="str">
        <f t="shared" si="33"/>
        <v>Actual</v>
      </c>
      <c r="S101" s="367" t="str">
        <f t="shared" si="33"/>
        <v>FCCS_YTD_Input</v>
      </c>
      <c r="T101" s="367" t="s">
        <v>850</v>
      </c>
    </row>
    <row r="102" spans="2:20" x14ac:dyDescent="0.3">
      <c r="B102" s="364" t="s">
        <v>668</v>
      </c>
      <c r="C102" s="365" t="s">
        <v>405</v>
      </c>
      <c r="D102" s="366" t="str">
        <f>[2]!HsSetValue(E102,"FCC","Scenario#"&amp;R102&amp;";Years#"&amp;J102&amp;";Period#"&amp;I102&amp;";View#"&amp;S102&amp;";Entity#"&amp;H102&amp;";Data Source#"&amp;K102&amp;";Account#"&amp;F102&amp;";Intercompany#"&amp;L102&amp;";Movement#"&amp;Q102&amp;";Consolidation#"&amp;T102&amp;";Custom1#"&amp;M102&amp;";Custom2#"&amp;N102&amp;";Custom3#"&amp;O102&amp;";Custom4#"&amp;P102&amp;"")</f>
        <v>#Invalid Syntax</v>
      </c>
      <c r="E102" s="366">
        <f>SUMIF('Investment Analysis'!$E$22:$E$69,'FCC Investments - Load Tab'!C102,'Investment Analysis'!$N$22:$N$69)</f>
        <v>0</v>
      </c>
      <c r="F102" s="367" t="s">
        <v>673</v>
      </c>
      <c r="G102" s="367" t="s">
        <v>686</v>
      </c>
      <c r="H102" s="368" t="e">
        <f>+H$2</f>
        <v>#N/A</v>
      </c>
      <c r="I102" s="368" t="str">
        <f t="shared" si="30"/>
        <v>Jun</v>
      </c>
      <c r="J102" s="367" t="str">
        <f>+J$2</f>
        <v>FY25</v>
      </c>
      <c r="K102" s="367" t="str">
        <f t="shared" si="32"/>
        <v>FCCS_Other Data</v>
      </c>
      <c r="L102" s="367" t="str">
        <f t="shared" si="32"/>
        <v>FCCS_No Intercompany</v>
      </c>
      <c r="M102" s="367" t="str">
        <f>+M$1</f>
        <v>No Custom1</v>
      </c>
      <c r="N102" s="367" t="str">
        <f t="shared" si="32"/>
        <v>No Custom2</v>
      </c>
      <c r="O102" s="367" t="s">
        <v>724</v>
      </c>
      <c r="P102" s="367" t="s">
        <v>564</v>
      </c>
      <c r="Q102" s="367" t="str">
        <f t="shared" si="31"/>
        <v>FCCS_ClosingBalance_Input</v>
      </c>
      <c r="R102" s="367" t="str">
        <f t="shared" si="33"/>
        <v>Actual</v>
      </c>
      <c r="S102" s="367" t="str">
        <f t="shared" si="33"/>
        <v>FCCS_YTD_Input</v>
      </c>
      <c r="T102" s="367" t="s">
        <v>850</v>
      </c>
    </row>
    <row r="103" spans="2:20" x14ac:dyDescent="0.3">
      <c r="B103" s="364" t="s">
        <v>668</v>
      </c>
      <c r="C103" s="365" t="s">
        <v>405</v>
      </c>
      <c r="D103" s="366" t="str">
        <f>[2]!HsSetValue(E103,"FCC","Scenario#"&amp;R103&amp;";Years#"&amp;J103&amp;";Period#"&amp;I103&amp;";View#"&amp;S103&amp;";Entity#"&amp;H103&amp;";Data Source#"&amp;K103&amp;";Account#"&amp;F103&amp;";Intercompany#"&amp;L103&amp;";Movement#"&amp;Q103&amp;";Consolidation#"&amp;T103&amp;";Custom1#"&amp;M103&amp;";Custom2#"&amp;N103&amp;";Custom3#"&amp;O103&amp;";Custom4#"&amp;P103&amp;"")</f>
        <v>#Invalid Syntax</v>
      </c>
      <c r="E103" s="366">
        <f>SUMIF('Investment Analysis'!$E$2:$E$69,'FCC Investments - Load Tab'!C103,'Investment Analysis'!$O$2:$O$69)</f>
        <v>0</v>
      </c>
      <c r="F103" s="367" t="s">
        <v>673</v>
      </c>
      <c r="G103" s="367" t="s">
        <v>686</v>
      </c>
      <c r="H103" s="368" t="e">
        <f>+H$2</f>
        <v>#N/A</v>
      </c>
      <c r="I103" s="368" t="str">
        <f t="shared" si="30"/>
        <v>Jun</v>
      </c>
      <c r="J103" s="367" t="str">
        <f>+J$2</f>
        <v>FY25</v>
      </c>
      <c r="K103" s="367" t="str">
        <f t="shared" si="32"/>
        <v>FCCS_Other Data</v>
      </c>
      <c r="L103" s="367" t="str">
        <f t="shared" si="32"/>
        <v>FCCS_No Intercompany</v>
      </c>
      <c r="M103" s="367" t="str">
        <f>+M$1</f>
        <v>No Custom1</v>
      </c>
      <c r="N103" s="367" t="str">
        <f t="shared" si="32"/>
        <v>No Custom2</v>
      </c>
      <c r="O103" s="367" t="s">
        <v>725</v>
      </c>
      <c r="P103" s="367" t="s">
        <v>564</v>
      </c>
      <c r="Q103" s="367" t="str">
        <f t="shared" si="31"/>
        <v>FCCS_ClosingBalance_Input</v>
      </c>
      <c r="R103" s="367" t="str">
        <f t="shared" si="33"/>
        <v>Actual</v>
      </c>
      <c r="S103" s="367" t="str">
        <f t="shared" si="33"/>
        <v>FCCS_YTD_Input</v>
      </c>
      <c r="T103" s="367" t="s">
        <v>850</v>
      </c>
    </row>
    <row r="104" spans="2:20" ht="16.5" customHeight="1" x14ac:dyDescent="0.3">
      <c r="B104" s="210"/>
      <c r="C104" s="211"/>
      <c r="D104" s="212"/>
      <c r="E104" s="212"/>
    </row>
    <row r="105" spans="2:20" x14ac:dyDescent="0.3">
      <c r="B105" s="214" t="s">
        <v>667</v>
      </c>
      <c r="C105" s="215" t="s">
        <v>405</v>
      </c>
      <c r="D105" s="216" t="str">
        <f>[2]!HsSetValue(E105,"FCC","Scenario#"&amp;R105&amp;";Years#"&amp;J105&amp;";Period#"&amp;I105&amp;";View#"&amp;S105&amp;";Entity#"&amp;H105&amp;";Data Source#"&amp;K105&amp;";Account#"&amp;F105&amp;";Intercompany#"&amp;L105&amp;";Movement#"&amp;Q105&amp;";Consolidation#"&amp;T105&amp;";Custom1#"&amp;M105&amp;";Custom2#"&amp;N105&amp;";Custom3#"&amp;O105&amp;";Custom4#"&amp;P105&amp;"")</f>
        <v>#Invalid Syntax</v>
      </c>
      <c r="E105" s="216">
        <f>SUMIFS('Investment Analysis'!$H$22:$H$69,'Investment Analysis'!$E$22:$E$69,"Bond Securities",'Investment Analysis'!$AB$22:$AB$69,"10")</f>
        <v>0</v>
      </c>
      <c r="F105" s="217" t="s">
        <v>674</v>
      </c>
      <c r="G105" s="217" t="s">
        <v>1047</v>
      </c>
      <c r="H105" s="218" t="e">
        <f t="shared" ref="H105:N118" si="34">+H$2</f>
        <v>#N/A</v>
      </c>
      <c r="I105" s="218" t="str">
        <f t="shared" si="34"/>
        <v>Jun</v>
      </c>
      <c r="J105" s="217" t="str">
        <f t="shared" si="34"/>
        <v>FY25</v>
      </c>
      <c r="K105" s="217" t="str">
        <f t="shared" si="34"/>
        <v>FCCS_Other Data</v>
      </c>
      <c r="L105" s="217" t="str">
        <f t="shared" si="34"/>
        <v>FCCS_No Intercompany</v>
      </c>
      <c r="M105" s="217" t="str">
        <f t="shared" ref="M105:M118" si="35">+M$1</f>
        <v>No Custom1</v>
      </c>
      <c r="N105" s="217" t="str">
        <f t="shared" si="34"/>
        <v>No Custom2</v>
      </c>
      <c r="O105" s="217" t="s">
        <v>433</v>
      </c>
      <c r="P105" s="217" t="s">
        <v>564</v>
      </c>
      <c r="Q105" s="217" t="str">
        <f t="shared" ref="Q105:Q118" si="36">Q$2</f>
        <v>FCCS_ClosingBalance_Input</v>
      </c>
      <c r="R105" s="217" t="str">
        <f t="shared" ref="R105:S118" si="37">+R$2</f>
        <v>Actual</v>
      </c>
      <c r="S105" s="217" t="str">
        <f t="shared" si="37"/>
        <v>FCCS_YTD_Input</v>
      </c>
      <c r="T105" s="217" t="s">
        <v>850</v>
      </c>
    </row>
    <row r="106" spans="2:20" x14ac:dyDescent="0.3">
      <c r="B106" s="214" t="s">
        <v>667</v>
      </c>
      <c r="C106" s="215" t="s">
        <v>405</v>
      </c>
      <c r="D106" s="216" t="str">
        <f>[2]!HsSetValue(E106,"FCC","Scenario#"&amp;R106&amp;";Years#"&amp;J106&amp;";Period#"&amp;I106&amp;";View#"&amp;S106&amp;";Entity#"&amp;H106&amp;";Data Source#"&amp;K106&amp;";Account#"&amp;F106&amp;";Intercompany#"&amp;L106&amp;";Movement#"&amp;Q106&amp;";Consolidation#"&amp;T106&amp;";Custom1#"&amp;M106&amp;";Custom2#"&amp;N106&amp;";Custom3#"&amp;O106&amp;";Custom4#"&amp;P106&amp;"")</f>
        <v>#Invalid Syntax</v>
      </c>
      <c r="E106" s="216">
        <f>SUMIFS('Investment Analysis'!$H$22:$H$69,'Investment Analysis'!$E$22:$E$69,"Bond Securities",'Investment Analysis'!$AB$22:$AB$69,"9")</f>
        <v>0</v>
      </c>
      <c r="F106" s="217" t="s">
        <v>674</v>
      </c>
      <c r="G106" s="217" t="s">
        <v>1047</v>
      </c>
      <c r="H106" s="218" t="e">
        <f t="shared" si="34"/>
        <v>#N/A</v>
      </c>
      <c r="I106" s="218" t="str">
        <f t="shared" si="34"/>
        <v>Jun</v>
      </c>
      <c r="J106" s="217" t="str">
        <f t="shared" si="34"/>
        <v>FY25</v>
      </c>
      <c r="K106" s="217" t="str">
        <f t="shared" si="34"/>
        <v>FCCS_Other Data</v>
      </c>
      <c r="L106" s="217" t="str">
        <f t="shared" si="34"/>
        <v>FCCS_No Intercompany</v>
      </c>
      <c r="M106" s="217" t="str">
        <f t="shared" si="35"/>
        <v>No Custom1</v>
      </c>
      <c r="N106" s="217" t="str">
        <f t="shared" si="34"/>
        <v>No Custom2</v>
      </c>
      <c r="O106" s="217" t="s">
        <v>596</v>
      </c>
      <c r="P106" s="217" t="s">
        <v>564</v>
      </c>
      <c r="Q106" s="217" t="str">
        <f t="shared" si="36"/>
        <v>FCCS_ClosingBalance_Input</v>
      </c>
      <c r="R106" s="217" t="str">
        <f t="shared" si="37"/>
        <v>Actual</v>
      </c>
      <c r="S106" s="217" t="str">
        <f t="shared" si="37"/>
        <v>FCCS_YTD_Input</v>
      </c>
      <c r="T106" s="217" t="s">
        <v>850</v>
      </c>
    </row>
    <row r="107" spans="2:20" x14ac:dyDescent="0.3">
      <c r="B107" s="214" t="s">
        <v>667</v>
      </c>
      <c r="C107" s="215" t="s">
        <v>405</v>
      </c>
      <c r="D107" s="216" t="str">
        <f>[2]!HsSetValue(E107,"FCC","Scenario#"&amp;R107&amp;";Years#"&amp;J107&amp;";Period#"&amp;I107&amp;";View#"&amp;S107&amp;";Entity#"&amp;H107&amp;";Data Source#"&amp;K107&amp;";Account#"&amp;F107&amp;";Intercompany#"&amp;L107&amp;";Movement#"&amp;Q107&amp;";Consolidation#"&amp;T107&amp;";Custom1#"&amp;M107&amp;";Custom2#"&amp;N107&amp;";Custom3#"&amp;O107&amp;";Custom4#"&amp;P107&amp;"")</f>
        <v>#Invalid Syntax</v>
      </c>
      <c r="E107" s="216">
        <f>SUMIFS('Investment Analysis'!$H$22:$H$69,'Investment Analysis'!$E$22:$E$69,"Bond Securities",'Investment Analysis'!$AB$22:$AB$69,"8")</f>
        <v>0</v>
      </c>
      <c r="F107" s="217" t="s">
        <v>674</v>
      </c>
      <c r="G107" s="217" t="s">
        <v>1047</v>
      </c>
      <c r="H107" s="218" t="e">
        <f t="shared" si="34"/>
        <v>#N/A</v>
      </c>
      <c r="I107" s="218" t="str">
        <f t="shared" si="34"/>
        <v>Jun</v>
      </c>
      <c r="J107" s="217" t="str">
        <f t="shared" si="34"/>
        <v>FY25</v>
      </c>
      <c r="K107" s="217" t="str">
        <f t="shared" si="34"/>
        <v>FCCS_Other Data</v>
      </c>
      <c r="L107" s="217" t="str">
        <f t="shared" si="34"/>
        <v>FCCS_No Intercompany</v>
      </c>
      <c r="M107" s="217" t="str">
        <f t="shared" si="35"/>
        <v>No Custom1</v>
      </c>
      <c r="N107" s="217" t="str">
        <f t="shared" si="34"/>
        <v>No Custom2</v>
      </c>
      <c r="O107" s="217" t="s">
        <v>61</v>
      </c>
      <c r="P107" s="217" t="s">
        <v>564</v>
      </c>
      <c r="Q107" s="217" t="str">
        <f t="shared" si="36"/>
        <v>FCCS_ClosingBalance_Input</v>
      </c>
      <c r="R107" s="217" t="str">
        <f t="shared" si="37"/>
        <v>Actual</v>
      </c>
      <c r="S107" s="217" t="str">
        <f t="shared" si="37"/>
        <v>FCCS_YTD_Input</v>
      </c>
      <c r="T107" s="217" t="s">
        <v>850</v>
      </c>
    </row>
    <row r="108" spans="2:20" x14ac:dyDescent="0.3">
      <c r="B108" s="214" t="s">
        <v>667</v>
      </c>
      <c r="C108" s="215" t="s">
        <v>405</v>
      </c>
      <c r="D108" s="216" t="str">
        <f>[2]!HsSetValue(E108,"FCC","Scenario#"&amp;R108&amp;";Years#"&amp;J108&amp;";Period#"&amp;I108&amp;";View#"&amp;S108&amp;";Entity#"&amp;H108&amp;";Data Source#"&amp;K108&amp;";Account#"&amp;F108&amp;";Intercompany#"&amp;L108&amp;";Movement#"&amp;Q108&amp;";Consolidation#"&amp;T108&amp;";Custom1#"&amp;M108&amp;";Custom2#"&amp;N108&amp;";Custom3#"&amp;O108&amp;";Custom4#"&amp;P108&amp;"")</f>
        <v>#Invalid Syntax</v>
      </c>
      <c r="E108" s="216">
        <f>SUMIFS('Investment Analysis'!$H$22:$H$69,'Investment Analysis'!$E$22:$E$69,"Bond Securities",'Investment Analysis'!$AB$22:$AB$69,"7")</f>
        <v>0</v>
      </c>
      <c r="F108" s="217" t="s">
        <v>674</v>
      </c>
      <c r="G108" s="217" t="s">
        <v>1047</v>
      </c>
      <c r="H108" s="218" t="e">
        <f t="shared" si="34"/>
        <v>#N/A</v>
      </c>
      <c r="I108" s="218" t="str">
        <f t="shared" si="34"/>
        <v>Jun</v>
      </c>
      <c r="J108" s="217" t="str">
        <f t="shared" si="34"/>
        <v>FY25</v>
      </c>
      <c r="K108" s="217" t="str">
        <f t="shared" si="34"/>
        <v>FCCS_Other Data</v>
      </c>
      <c r="L108" s="217" t="str">
        <f t="shared" si="34"/>
        <v>FCCS_No Intercompany</v>
      </c>
      <c r="M108" s="217" t="str">
        <f t="shared" si="35"/>
        <v>No Custom1</v>
      </c>
      <c r="N108" s="217" t="str">
        <f t="shared" si="34"/>
        <v>No Custom2</v>
      </c>
      <c r="O108" s="217" t="s">
        <v>62</v>
      </c>
      <c r="P108" s="217" t="s">
        <v>564</v>
      </c>
      <c r="Q108" s="217" t="str">
        <f t="shared" si="36"/>
        <v>FCCS_ClosingBalance_Input</v>
      </c>
      <c r="R108" s="217" t="str">
        <f t="shared" si="37"/>
        <v>Actual</v>
      </c>
      <c r="S108" s="217" t="str">
        <f t="shared" si="37"/>
        <v>FCCS_YTD_Input</v>
      </c>
      <c r="T108" s="217" t="s">
        <v>850</v>
      </c>
    </row>
    <row r="109" spans="2:20" x14ac:dyDescent="0.3">
      <c r="B109" s="214" t="s">
        <v>667</v>
      </c>
      <c r="C109" s="215" t="s">
        <v>405</v>
      </c>
      <c r="D109" s="216" t="str">
        <f>[2]!HsSetValue(E109,"FCC","Scenario#"&amp;R109&amp;";Years#"&amp;J109&amp;";Period#"&amp;I109&amp;";View#"&amp;S109&amp;";Entity#"&amp;H109&amp;";Data Source#"&amp;K109&amp;";Account#"&amp;F109&amp;";Intercompany#"&amp;L109&amp;";Movement#"&amp;Q109&amp;";Consolidation#"&amp;T109&amp;";Custom1#"&amp;M109&amp;";Custom2#"&amp;N109&amp;";Custom3#"&amp;O109&amp;";Custom4#"&amp;P109&amp;"")</f>
        <v>#Invalid Syntax</v>
      </c>
      <c r="E109" s="216">
        <f>SUMIFS('Investment Analysis'!$H$22:$H$69,'Investment Analysis'!$E$22:$E$69,"Bond Securities",'Investment Analysis'!$AB$22:$AB$69,"6")</f>
        <v>0</v>
      </c>
      <c r="F109" s="217" t="s">
        <v>674</v>
      </c>
      <c r="G109" s="217" t="s">
        <v>1047</v>
      </c>
      <c r="H109" s="218" t="e">
        <f t="shared" si="34"/>
        <v>#N/A</v>
      </c>
      <c r="I109" s="218" t="str">
        <f t="shared" si="34"/>
        <v>Jun</v>
      </c>
      <c r="J109" s="217" t="str">
        <f t="shared" si="34"/>
        <v>FY25</v>
      </c>
      <c r="K109" s="217" t="str">
        <f t="shared" si="34"/>
        <v>FCCS_Other Data</v>
      </c>
      <c r="L109" s="217" t="str">
        <f t="shared" si="34"/>
        <v>FCCS_No Intercompany</v>
      </c>
      <c r="M109" s="217" t="str">
        <f t="shared" si="35"/>
        <v>No Custom1</v>
      </c>
      <c r="N109" s="217" t="str">
        <f t="shared" si="34"/>
        <v>No Custom2</v>
      </c>
      <c r="O109" s="217" t="s">
        <v>436</v>
      </c>
      <c r="P109" s="217" t="s">
        <v>564</v>
      </c>
      <c r="Q109" s="217" t="str">
        <f t="shared" si="36"/>
        <v>FCCS_ClosingBalance_Input</v>
      </c>
      <c r="R109" s="217" t="str">
        <f t="shared" si="37"/>
        <v>Actual</v>
      </c>
      <c r="S109" s="217" t="str">
        <f t="shared" si="37"/>
        <v>FCCS_YTD_Input</v>
      </c>
      <c r="T109" s="217" t="s">
        <v>850</v>
      </c>
    </row>
    <row r="110" spans="2:20" s="371" customFormat="1" x14ac:dyDescent="0.3">
      <c r="B110" s="214" t="s">
        <v>667</v>
      </c>
      <c r="C110" s="215" t="s">
        <v>405</v>
      </c>
      <c r="D110" s="216" t="str">
        <f>[2]!HsSetValue(E110,"FCC","Scenario#"&amp;R110&amp;";Years#"&amp;J110&amp;";Period#"&amp;I110&amp;";View#"&amp;S110&amp;";Entity#"&amp;H110&amp;";Data Source#"&amp;K110&amp;";Account#"&amp;F110&amp;";Intercompany#"&amp;L110&amp;";Movement#"&amp;Q110&amp;";Consolidation#"&amp;T110&amp;";Custom1#"&amp;M110&amp;";Custom2#"&amp;N110&amp;";Custom3#"&amp;O110&amp;";Custom4#"&amp;P110&amp;"")</f>
        <v>#Invalid Syntax</v>
      </c>
      <c r="E110" s="216">
        <f>SUMIFS('Investment Analysis'!$H$22:$H$69,'Investment Analysis'!$E$22:$E$69,"Bond Securities",'Investment Analysis'!$AB$22:$AB$69,"5")</f>
        <v>0</v>
      </c>
      <c r="F110" s="217" t="s">
        <v>674</v>
      </c>
      <c r="G110" s="217" t="s">
        <v>1047</v>
      </c>
      <c r="H110" s="218" t="e">
        <f t="shared" si="34"/>
        <v>#N/A</v>
      </c>
      <c r="I110" s="218" t="str">
        <f t="shared" si="34"/>
        <v>Jun</v>
      </c>
      <c r="J110" s="217" t="str">
        <f t="shared" si="34"/>
        <v>FY25</v>
      </c>
      <c r="K110" s="217" t="str">
        <f t="shared" si="34"/>
        <v>FCCS_Other Data</v>
      </c>
      <c r="L110" s="217" t="str">
        <f t="shared" si="34"/>
        <v>FCCS_No Intercompany</v>
      </c>
      <c r="M110" s="217" t="str">
        <f t="shared" si="35"/>
        <v>No Custom1</v>
      </c>
      <c r="N110" s="217" t="str">
        <f t="shared" si="34"/>
        <v>No Custom2</v>
      </c>
      <c r="O110" s="217" t="s">
        <v>434</v>
      </c>
      <c r="P110" s="217" t="s">
        <v>564</v>
      </c>
      <c r="Q110" s="217" t="str">
        <f t="shared" si="36"/>
        <v>FCCS_ClosingBalance_Input</v>
      </c>
      <c r="R110" s="217" t="str">
        <f t="shared" si="37"/>
        <v>Actual</v>
      </c>
      <c r="S110" s="217" t="str">
        <f t="shared" si="37"/>
        <v>FCCS_YTD_Input</v>
      </c>
      <c r="T110" s="217" t="s">
        <v>850</v>
      </c>
    </row>
    <row r="111" spans="2:20" s="371" customFormat="1" x14ac:dyDescent="0.3">
      <c r="B111" s="214" t="s">
        <v>667</v>
      </c>
      <c r="C111" s="215" t="s">
        <v>405</v>
      </c>
      <c r="D111" s="216" t="str">
        <f>[2]!HsSetValue(E111,"FCC","Scenario#"&amp;R111&amp;";Years#"&amp;J111&amp;";Period#"&amp;I111&amp;";View#"&amp;S111&amp;";Entity#"&amp;H111&amp;";Data Source#"&amp;K111&amp;";Account#"&amp;F111&amp;";Intercompany#"&amp;L111&amp;";Movement#"&amp;Q111&amp;";Consolidation#"&amp;T111&amp;";Custom1#"&amp;M111&amp;";Custom2#"&amp;N111&amp;";Custom3#"&amp;O111&amp;";Custom4#"&amp;P111&amp;"")</f>
        <v>#Invalid Syntax</v>
      </c>
      <c r="E111" s="216">
        <f>SUMIFS('Investment Analysis'!$H$22:$H$69,'Investment Analysis'!$E$22:$E$69,"Bond Securities",'Investment Analysis'!$AB$22:$AB$69,"4")</f>
        <v>0</v>
      </c>
      <c r="F111" s="217" t="s">
        <v>674</v>
      </c>
      <c r="G111" s="217" t="s">
        <v>1047</v>
      </c>
      <c r="H111" s="218" t="e">
        <f t="shared" si="34"/>
        <v>#N/A</v>
      </c>
      <c r="I111" s="218" t="str">
        <f t="shared" si="34"/>
        <v>Jun</v>
      </c>
      <c r="J111" s="217" t="str">
        <f t="shared" si="34"/>
        <v>FY25</v>
      </c>
      <c r="K111" s="217" t="str">
        <f t="shared" si="34"/>
        <v>FCCS_Other Data</v>
      </c>
      <c r="L111" s="217" t="str">
        <f t="shared" si="34"/>
        <v>FCCS_No Intercompany</v>
      </c>
      <c r="M111" s="217" t="str">
        <f t="shared" si="35"/>
        <v>No Custom1</v>
      </c>
      <c r="N111" s="217" t="str">
        <f t="shared" si="34"/>
        <v>No Custom2</v>
      </c>
      <c r="O111" s="217" t="s">
        <v>63</v>
      </c>
      <c r="P111" s="217" t="s">
        <v>564</v>
      </c>
      <c r="Q111" s="217" t="str">
        <f t="shared" si="36"/>
        <v>FCCS_ClosingBalance_Input</v>
      </c>
      <c r="R111" s="217" t="str">
        <f t="shared" si="37"/>
        <v>Actual</v>
      </c>
      <c r="S111" s="217" t="str">
        <f t="shared" si="37"/>
        <v>FCCS_YTD_Input</v>
      </c>
      <c r="T111" s="217" t="s">
        <v>850</v>
      </c>
    </row>
    <row r="112" spans="2:20" s="371" customFormat="1" x14ac:dyDescent="0.3">
      <c r="B112" s="214" t="s">
        <v>667</v>
      </c>
      <c r="C112" s="215" t="s">
        <v>405</v>
      </c>
      <c r="D112" s="216" t="str">
        <f>[2]!HsSetValue(E112,"FCC","Scenario#"&amp;R112&amp;";Years#"&amp;J112&amp;";Period#"&amp;I112&amp;";View#"&amp;S112&amp;";Entity#"&amp;H112&amp;";Data Source#"&amp;K112&amp;";Account#"&amp;F112&amp;";Intercompany#"&amp;L112&amp;";Movement#"&amp;Q112&amp;";Consolidation#"&amp;T112&amp;";Custom1#"&amp;M112&amp;";Custom2#"&amp;N112&amp;";Custom3#"&amp;O112&amp;";Custom4#"&amp;P112&amp;"")</f>
        <v>#Invalid Syntax</v>
      </c>
      <c r="E112" s="216">
        <f>SUMIFS('Investment Analysis'!$H$22:$H$69,'Investment Analysis'!$E$22:$E$69,"Bond Securities",'Investment Analysis'!$AB$22:$AB$69,"3")</f>
        <v>0</v>
      </c>
      <c r="F112" s="217" t="s">
        <v>674</v>
      </c>
      <c r="G112" s="217" t="s">
        <v>1047</v>
      </c>
      <c r="H112" s="218" t="e">
        <f t="shared" si="34"/>
        <v>#N/A</v>
      </c>
      <c r="I112" s="218" t="str">
        <f t="shared" si="34"/>
        <v>Jun</v>
      </c>
      <c r="J112" s="217" t="str">
        <f t="shared" si="34"/>
        <v>FY25</v>
      </c>
      <c r="K112" s="217" t="str">
        <f t="shared" si="34"/>
        <v>FCCS_Other Data</v>
      </c>
      <c r="L112" s="217" t="str">
        <f t="shared" si="34"/>
        <v>FCCS_No Intercompany</v>
      </c>
      <c r="M112" s="217" t="str">
        <f t="shared" si="35"/>
        <v>No Custom1</v>
      </c>
      <c r="N112" s="217" t="str">
        <f t="shared" si="34"/>
        <v>No Custom2</v>
      </c>
      <c r="O112" s="217" t="s">
        <v>622</v>
      </c>
      <c r="P112" s="217" t="s">
        <v>564</v>
      </c>
      <c r="Q112" s="217" t="str">
        <f t="shared" si="36"/>
        <v>FCCS_ClosingBalance_Input</v>
      </c>
      <c r="R112" s="217" t="str">
        <f t="shared" si="37"/>
        <v>Actual</v>
      </c>
      <c r="S112" s="217" t="str">
        <f t="shared" si="37"/>
        <v>FCCS_YTD_Input</v>
      </c>
      <c r="T112" s="217" t="s">
        <v>850</v>
      </c>
    </row>
    <row r="113" spans="2:20" s="371" customFormat="1" x14ac:dyDescent="0.3">
      <c r="B113" s="214" t="s">
        <v>667</v>
      </c>
      <c r="C113" s="215" t="s">
        <v>405</v>
      </c>
      <c r="D113" s="216" t="str">
        <f>[2]!HsSetValue(E113,"FCC","Scenario#"&amp;R113&amp;";Years#"&amp;J113&amp;";Period#"&amp;I113&amp;";View#"&amp;S113&amp;";Entity#"&amp;H113&amp;";Data Source#"&amp;K113&amp;";Account#"&amp;F113&amp;";Intercompany#"&amp;L113&amp;";Movement#"&amp;Q113&amp;";Consolidation#"&amp;T113&amp;";Custom1#"&amp;M113&amp;";Custom2#"&amp;N113&amp;";Custom3#"&amp;O113&amp;";Custom4#"&amp;P113&amp;"")</f>
        <v>#Invalid Syntax</v>
      </c>
      <c r="E113" s="216">
        <f>SUMIFS('Investment Analysis'!$H$22:$H$69,'Investment Analysis'!$E$22:$E$69,"Bond Securities",'Investment Analysis'!$AB$22:$AB$69,"2")</f>
        <v>0</v>
      </c>
      <c r="F113" s="217" t="s">
        <v>674</v>
      </c>
      <c r="G113" s="217" t="s">
        <v>1047</v>
      </c>
      <c r="H113" s="218" t="e">
        <f t="shared" si="34"/>
        <v>#N/A</v>
      </c>
      <c r="I113" s="218" t="str">
        <f t="shared" si="34"/>
        <v>Jun</v>
      </c>
      <c r="J113" s="217" t="str">
        <f t="shared" si="34"/>
        <v>FY25</v>
      </c>
      <c r="K113" s="217" t="str">
        <f t="shared" si="34"/>
        <v>FCCS_Other Data</v>
      </c>
      <c r="L113" s="217" t="str">
        <f t="shared" si="34"/>
        <v>FCCS_No Intercompany</v>
      </c>
      <c r="M113" s="217" t="str">
        <f t="shared" si="35"/>
        <v>No Custom1</v>
      </c>
      <c r="N113" s="217" t="str">
        <f t="shared" si="34"/>
        <v>No Custom2</v>
      </c>
      <c r="O113" s="217" t="s">
        <v>618</v>
      </c>
      <c r="P113" s="217" t="s">
        <v>564</v>
      </c>
      <c r="Q113" s="217" t="str">
        <f t="shared" si="36"/>
        <v>FCCS_ClosingBalance_Input</v>
      </c>
      <c r="R113" s="217" t="str">
        <f t="shared" si="37"/>
        <v>Actual</v>
      </c>
      <c r="S113" s="217" t="str">
        <f t="shared" si="37"/>
        <v>FCCS_YTD_Input</v>
      </c>
      <c r="T113" s="217" t="s">
        <v>850</v>
      </c>
    </row>
    <row r="114" spans="2:20" s="371" customFormat="1" x14ac:dyDescent="0.3">
      <c r="B114" s="214" t="s">
        <v>667</v>
      </c>
      <c r="C114" s="215" t="s">
        <v>405</v>
      </c>
      <c r="D114" s="216" t="str">
        <f>[2]!HsSetValue(E114,"FCC","Scenario#"&amp;R114&amp;";Years#"&amp;J114&amp;";Period#"&amp;I114&amp;";View#"&amp;S114&amp;";Entity#"&amp;H114&amp;";Data Source#"&amp;K114&amp;";Account#"&amp;F114&amp;";Intercompany#"&amp;L114&amp;";Movement#"&amp;Q114&amp;";Consolidation#"&amp;T114&amp;";Custom1#"&amp;M114&amp;";Custom2#"&amp;N114&amp;";Custom3#"&amp;O114&amp;";Custom4#"&amp;P114&amp;"")</f>
        <v>#Invalid Syntax</v>
      </c>
      <c r="E114" s="216">
        <f>SUMIFS('Investment Analysis'!$H$22:$H$69,'Investment Analysis'!$E$22:$E$69,"Bond Securities",'Investment Analysis'!$AB$22:$AB$69,"1")</f>
        <v>0</v>
      </c>
      <c r="F114" s="217" t="s">
        <v>674</v>
      </c>
      <c r="G114" s="217" t="s">
        <v>1047</v>
      </c>
      <c r="H114" s="218" t="e">
        <f t="shared" si="34"/>
        <v>#N/A</v>
      </c>
      <c r="I114" s="218" t="str">
        <f t="shared" si="34"/>
        <v>Jun</v>
      </c>
      <c r="J114" s="217" t="str">
        <f t="shared" si="34"/>
        <v>FY25</v>
      </c>
      <c r="K114" s="217" t="str">
        <f t="shared" si="34"/>
        <v>FCCS_Other Data</v>
      </c>
      <c r="L114" s="217" t="str">
        <f t="shared" si="34"/>
        <v>FCCS_No Intercompany</v>
      </c>
      <c r="M114" s="217" t="str">
        <f t="shared" si="35"/>
        <v>No Custom1</v>
      </c>
      <c r="N114" s="217" t="str">
        <f t="shared" si="34"/>
        <v>No Custom2</v>
      </c>
      <c r="O114" s="217" t="s">
        <v>64</v>
      </c>
      <c r="P114" s="217" t="s">
        <v>564</v>
      </c>
      <c r="Q114" s="217" t="str">
        <f t="shared" si="36"/>
        <v>FCCS_ClosingBalance_Input</v>
      </c>
      <c r="R114" s="217" t="str">
        <f t="shared" si="37"/>
        <v>Actual</v>
      </c>
      <c r="S114" s="217" t="str">
        <f t="shared" si="37"/>
        <v>FCCS_YTD_Input</v>
      </c>
      <c r="T114" s="217" t="s">
        <v>850</v>
      </c>
    </row>
    <row r="115" spans="2:20" x14ac:dyDescent="0.3">
      <c r="B115" s="214" t="s">
        <v>667</v>
      </c>
      <c r="C115" s="215" t="s">
        <v>405</v>
      </c>
      <c r="D115" s="216" t="str">
        <f>[2]!HsSetValue(E115,"FCC","Scenario#"&amp;R115&amp;";Years#"&amp;J115&amp;";Period#"&amp;I115&amp;";View#"&amp;S115&amp;";Entity#"&amp;H115&amp;";Data Source#"&amp;K115&amp;";Account#"&amp;F115&amp;";Intercompany#"&amp;L115&amp;";Movement#"&amp;Q115&amp;";Consolidation#"&amp;T115&amp;";Custom1#"&amp;M115&amp;";Custom2#"&amp;N115&amp;";Custom3#"&amp;O115&amp;";Custom4#"&amp;P115&amp;"")</f>
        <v>#Invalid Syntax</v>
      </c>
      <c r="E115" s="216">
        <f>SUMIFS('Investment Analysis'!$H$22:$H$69,'Investment Analysis'!$E$22:$E$69,"Bond Securities",'Investment Analysis'!$AI$22:$AI$69,"16")</f>
        <v>0</v>
      </c>
      <c r="F115" s="217" t="s">
        <v>674</v>
      </c>
      <c r="G115" s="217" t="s">
        <v>1047</v>
      </c>
      <c r="H115" s="218" t="e">
        <f t="shared" si="34"/>
        <v>#N/A</v>
      </c>
      <c r="I115" s="218" t="str">
        <f t="shared" si="34"/>
        <v>Jun</v>
      </c>
      <c r="J115" s="217" t="str">
        <f t="shared" si="34"/>
        <v>FY25</v>
      </c>
      <c r="K115" s="217" t="str">
        <f t="shared" si="34"/>
        <v>FCCS_Other Data</v>
      </c>
      <c r="L115" s="217" t="str">
        <f t="shared" si="34"/>
        <v>FCCS_No Intercompany</v>
      </c>
      <c r="M115" s="217" t="str">
        <f t="shared" si="35"/>
        <v>No Custom1</v>
      </c>
      <c r="N115" s="217" t="str">
        <f t="shared" si="34"/>
        <v>No Custom2</v>
      </c>
      <c r="O115" s="217" t="s">
        <v>726</v>
      </c>
      <c r="P115" s="217" t="s">
        <v>564</v>
      </c>
      <c r="Q115" s="217" t="str">
        <f t="shared" si="36"/>
        <v>FCCS_ClosingBalance_Input</v>
      </c>
      <c r="R115" s="217" t="str">
        <f t="shared" si="37"/>
        <v>Actual</v>
      </c>
      <c r="S115" s="217" t="str">
        <f t="shared" si="37"/>
        <v>FCCS_YTD_Input</v>
      </c>
      <c r="T115" s="217" t="s">
        <v>850</v>
      </c>
    </row>
    <row r="116" spans="2:20" x14ac:dyDescent="0.3">
      <c r="B116" s="214" t="s">
        <v>667</v>
      </c>
      <c r="C116" s="215" t="s">
        <v>405</v>
      </c>
      <c r="D116" s="216" t="str">
        <f>[2]!HsSetValue(E116,"FCC","Scenario#"&amp;R116&amp;";Years#"&amp;J116&amp;";Period#"&amp;I116&amp;";View#"&amp;S116&amp;";Entity#"&amp;H116&amp;";Data Source#"&amp;K116&amp;";Account#"&amp;F116&amp;";Intercompany#"&amp;L116&amp;";Movement#"&amp;Q116&amp;";Consolidation#"&amp;T116&amp;";Custom1#"&amp;M116&amp;";Custom2#"&amp;N116&amp;";Custom3#"&amp;O116&amp;";Custom4#"&amp;P116&amp;"")</f>
        <v>#Invalid Syntax</v>
      </c>
      <c r="E116" s="216">
        <f>SUMIFS('Investment Analysis'!$H$22:$H$69,'Investment Analysis'!$E$22:$E$69,"Bond Securities",'Investment Analysis'!$AI$22:$AI$69,"15")</f>
        <v>0</v>
      </c>
      <c r="F116" s="217" t="s">
        <v>674</v>
      </c>
      <c r="G116" s="217" t="s">
        <v>1047</v>
      </c>
      <c r="H116" s="218" t="e">
        <f t="shared" si="34"/>
        <v>#N/A</v>
      </c>
      <c r="I116" s="218" t="str">
        <f t="shared" si="34"/>
        <v>Jun</v>
      </c>
      <c r="J116" s="217" t="str">
        <f t="shared" si="34"/>
        <v>FY25</v>
      </c>
      <c r="K116" s="217" t="str">
        <f t="shared" si="34"/>
        <v>FCCS_Other Data</v>
      </c>
      <c r="L116" s="217" t="str">
        <f t="shared" si="34"/>
        <v>FCCS_No Intercompany</v>
      </c>
      <c r="M116" s="217" t="str">
        <f t="shared" si="35"/>
        <v>No Custom1</v>
      </c>
      <c r="N116" s="217" t="str">
        <f t="shared" si="34"/>
        <v>No Custom2</v>
      </c>
      <c r="O116" s="217" t="s">
        <v>727</v>
      </c>
      <c r="P116" s="217" t="s">
        <v>564</v>
      </c>
      <c r="Q116" s="217" t="str">
        <f t="shared" si="36"/>
        <v>FCCS_ClosingBalance_Input</v>
      </c>
      <c r="R116" s="217" t="str">
        <f t="shared" si="37"/>
        <v>Actual</v>
      </c>
      <c r="S116" s="217" t="str">
        <f t="shared" si="37"/>
        <v>FCCS_YTD_Input</v>
      </c>
      <c r="T116" s="217" t="s">
        <v>850</v>
      </c>
    </row>
    <row r="117" spans="2:20" x14ac:dyDescent="0.3">
      <c r="B117" s="214" t="s">
        <v>667</v>
      </c>
      <c r="C117" s="215" t="s">
        <v>405</v>
      </c>
      <c r="D117" s="216" t="str">
        <f>[2]!HsSetValue(E117,"FCC","Scenario#"&amp;R117&amp;";Years#"&amp;J117&amp;";Period#"&amp;I117&amp;";View#"&amp;S117&amp;";Entity#"&amp;H117&amp;";Data Source#"&amp;K117&amp;";Account#"&amp;F117&amp;";Intercompany#"&amp;L117&amp;";Movement#"&amp;Q117&amp;";Consolidation#"&amp;T117&amp;";Custom1#"&amp;M117&amp;";Custom2#"&amp;N117&amp;";Custom3#"&amp;O117&amp;";Custom4#"&amp;P117&amp;"")</f>
        <v>#Invalid Syntax</v>
      </c>
      <c r="E117" s="216">
        <f>SUMIFS('Investment Analysis'!$H$22:$H$69,'Investment Analysis'!$E$22:$E$69,"Bond Securities",'Investment Analysis'!$AI$22:$AI$69,"14")</f>
        <v>0</v>
      </c>
      <c r="F117" s="217" t="s">
        <v>674</v>
      </c>
      <c r="G117" s="217" t="s">
        <v>1047</v>
      </c>
      <c r="H117" s="218" t="e">
        <f t="shared" si="34"/>
        <v>#N/A</v>
      </c>
      <c r="I117" s="218" t="str">
        <f t="shared" si="34"/>
        <v>Jun</v>
      </c>
      <c r="J117" s="217" t="str">
        <f t="shared" si="34"/>
        <v>FY25</v>
      </c>
      <c r="K117" s="217" t="str">
        <f t="shared" si="34"/>
        <v>FCCS_Other Data</v>
      </c>
      <c r="L117" s="217" t="str">
        <f t="shared" si="34"/>
        <v>FCCS_No Intercompany</v>
      </c>
      <c r="M117" s="217" t="str">
        <f t="shared" si="35"/>
        <v>No Custom1</v>
      </c>
      <c r="N117" s="217" t="str">
        <f t="shared" si="34"/>
        <v>No Custom2</v>
      </c>
      <c r="O117" s="217" t="s">
        <v>728</v>
      </c>
      <c r="P117" s="217" t="s">
        <v>564</v>
      </c>
      <c r="Q117" s="217" t="str">
        <f t="shared" si="36"/>
        <v>FCCS_ClosingBalance_Input</v>
      </c>
      <c r="R117" s="217" t="str">
        <f t="shared" si="37"/>
        <v>Actual</v>
      </c>
      <c r="S117" s="217" t="str">
        <f t="shared" si="37"/>
        <v>FCCS_YTD_Input</v>
      </c>
      <c r="T117" s="217" t="s">
        <v>850</v>
      </c>
    </row>
    <row r="118" spans="2:20" x14ac:dyDescent="0.3">
      <c r="B118" s="214" t="s">
        <v>667</v>
      </c>
      <c r="C118" s="215" t="s">
        <v>405</v>
      </c>
      <c r="D118" s="216" t="str">
        <f>[2]!HsSetValue(E118,"FCC","Scenario#"&amp;R118&amp;";Years#"&amp;J118&amp;";Period#"&amp;I118&amp;";View#"&amp;S118&amp;";Entity#"&amp;H118&amp;";Data Source#"&amp;K118&amp;";Account#"&amp;F118&amp;";Intercompany#"&amp;L118&amp;";Movement#"&amp;Q118&amp;";Consolidation#"&amp;T118&amp;";Custom1#"&amp;M118&amp;";Custom2#"&amp;N118&amp;";Custom3#"&amp;O118&amp;";Custom4#"&amp;P118&amp;"")</f>
        <v>#Invalid Syntax</v>
      </c>
      <c r="E118" s="216">
        <f>SUMIFS('Investment Analysis'!$H$22:$H$69,'Investment Analysis'!$E$22:$E$69,"Bond Securities",'Investment Analysis'!$AB$22:$AB$69,"0")+SUMIFS('Investment Analysis'!$H$22:$H$69,'Investment Analysis'!$E$22:$E$69,"Bond Securities",'Investment Analysis'!$AI$22:$AI$69,"0")</f>
        <v>0</v>
      </c>
      <c r="F118" s="217" t="s">
        <v>674</v>
      </c>
      <c r="G118" s="217" t="s">
        <v>1047</v>
      </c>
      <c r="H118" s="218" t="e">
        <f t="shared" si="34"/>
        <v>#N/A</v>
      </c>
      <c r="I118" s="218" t="str">
        <f t="shared" si="34"/>
        <v>Jun</v>
      </c>
      <c r="J118" s="217" t="str">
        <f t="shared" si="34"/>
        <v>FY25</v>
      </c>
      <c r="K118" s="217" t="str">
        <f t="shared" si="34"/>
        <v>FCCS_Other Data</v>
      </c>
      <c r="L118" s="217" t="str">
        <f t="shared" si="34"/>
        <v>FCCS_No Intercompany</v>
      </c>
      <c r="M118" s="217" t="str">
        <f t="shared" si="35"/>
        <v>No Custom1</v>
      </c>
      <c r="N118" s="217" t="str">
        <f t="shared" si="34"/>
        <v>No Custom2</v>
      </c>
      <c r="O118" s="217" t="s">
        <v>609</v>
      </c>
      <c r="P118" s="217" t="s">
        <v>564</v>
      </c>
      <c r="Q118" s="217" t="str">
        <f t="shared" si="36"/>
        <v>FCCS_ClosingBalance_Input</v>
      </c>
      <c r="R118" s="217" t="str">
        <f t="shared" si="37"/>
        <v>Actual</v>
      </c>
      <c r="S118" s="217" t="str">
        <f t="shared" si="37"/>
        <v>FCCS_YTD_Input</v>
      </c>
      <c r="T118" s="217" t="s">
        <v>850</v>
      </c>
    </row>
    <row r="119" spans="2:20" x14ac:dyDescent="0.3">
      <c r="B119" s="210"/>
      <c r="C119" s="211"/>
      <c r="D119" s="212"/>
      <c r="E119" s="212"/>
    </row>
    <row r="120" spans="2:20" x14ac:dyDescent="0.3">
      <c r="B120" s="219" t="s">
        <v>1014</v>
      </c>
      <c r="C120" s="220" t="s">
        <v>405</v>
      </c>
      <c r="D120" s="221" t="str">
        <f>[2]!HsSetValue(E120,"FCC","Scenario#"&amp;R120&amp;";Years#"&amp;J120&amp;";Period#"&amp;I120&amp;";View#"&amp;S120&amp;";Entity#"&amp;H120&amp;";Data Source#"&amp;K120&amp;";Account#"&amp;F120&amp;";Intercompany#"&amp;L120&amp;";Movement#"&amp;Q120&amp;";Consolidation#"&amp;T120&amp;";Custom1#"&amp;M120&amp;";Custom2#"&amp;N120&amp;";Custom3#"&amp;O120&amp;";Custom4#"&amp;P120&amp;"")</f>
        <v>#Invalid Syntax</v>
      </c>
      <c r="E120" s="221">
        <f>SUMIFS('Investment Analysis'!$H$22:$H$69,'Investment Analysis'!$E$22:$E$69,"Bond Securities",'Investment Analysis'!$AK$22:$AK$69,"21")</f>
        <v>0</v>
      </c>
      <c r="F120" s="222" t="s">
        <v>675</v>
      </c>
      <c r="G120" s="222" t="s">
        <v>1017</v>
      </c>
      <c r="H120" s="223" t="e">
        <f>+H$2</f>
        <v>#N/A</v>
      </c>
      <c r="I120" s="223" t="str">
        <f t="shared" ref="I120:I130" si="38">+I$2</f>
        <v>Jun</v>
      </c>
      <c r="J120" s="222" t="str">
        <f>+J$2</f>
        <v>FY25</v>
      </c>
      <c r="K120" s="222" t="s">
        <v>843</v>
      </c>
      <c r="L120" s="222" t="s">
        <v>844</v>
      </c>
      <c r="M120" s="222" t="s">
        <v>845</v>
      </c>
      <c r="N120" s="222" t="s">
        <v>846</v>
      </c>
      <c r="O120" s="222" t="s">
        <v>729</v>
      </c>
      <c r="P120" s="222" t="s">
        <v>564</v>
      </c>
      <c r="Q120" s="222" t="str">
        <f t="shared" ref="Q120:Q130" si="39">Q$2</f>
        <v>FCCS_ClosingBalance_Input</v>
      </c>
      <c r="R120" s="222" t="s">
        <v>169</v>
      </c>
      <c r="S120" s="222" t="s">
        <v>848</v>
      </c>
      <c r="T120" s="222" t="s">
        <v>850</v>
      </c>
    </row>
    <row r="121" spans="2:20" x14ac:dyDescent="0.3">
      <c r="B121" s="219" t="s">
        <v>1014</v>
      </c>
      <c r="C121" s="220" t="s">
        <v>405</v>
      </c>
      <c r="D121" s="221" t="str">
        <f>[2]!HsSetValue(E121,"FCC","Scenario#"&amp;R121&amp;";Years#"&amp;J121&amp;";Period#"&amp;I121&amp;";View#"&amp;S121&amp;";Entity#"&amp;H121&amp;";Data Source#"&amp;K121&amp;";Account#"&amp;F121&amp;";Intercompany#"&amp;L121&amp;";Movement#"&amp;Q121&amp;";Consolidation#"&amp;T121&amp;";Custom1#"&amp;M121&amp;";Custom2#"&amp;N121&amp;";Custom3#"&amp;O121&amp;";Custom4#"&amp;P121&amp;"")</f>
        <v>#Invalid Syntax</v>
      </c>
      <c r="E121" s="221">
        <f>SUMIFS('Investment Analysis'!$H$22:$H$69,'Investment Analysis'!$E$22:$E$69,"Bond Securities",'Investment Analysis'!$AK$22:$AK$69,"22")</f>
        <v>0</v>
      </c>
      <c r="F121" s="222" t="s">
        <v>675</v>
      </c>
      <c r="G121" s="222" t="s">
        <v>1017</v>
      </c>
      <c r="H121" s="223" t="e">
        <f>+H$2</f>
        <v>#N/A</v>
      </c>
      <c r="I121" s="223" t="str">
        <f t="shared" si="38"/>
        <v>Jun</v>
      </c>
      <c r="J121" s="222" t="str">
        <f>+J$2</f>
        <v>FY25</v>
      </c>
      <c r="K121" s="222" t="str">
        <f t="shared" ref="K121:N124" si="40">+K$2</f>
        <v>FCCS_Other Data</v>
      </c>
      <c r="L121" s="222" t="str">
        <f t="shared" si="40"/>
        <v>FCCS_No Intercompany</v>
      </c>
      <c r="M121" s="222" t="str">
        <f>+M$1</f>
        <v>No Custom1</v>
      </c>
      <c r="N121" s="222" t="str">
        <f t="shared" si="40"/>
        <v>No Custom2</v>
      </c>
      <c r="O121" s="222" t="s">
        <v>730</v>
      </c>
      <c r="P121" s="222" t="s">
        <v>564</v>
      </c>
      <c r="Q121" s="222" t="str">
        <f t="shared" si="39"/>
        <v>FCCS_ClosingBalance_Input</v>
      </c>
      <c r="R121" s="222" t="str">
        <f t="shared" ref="R121:S124" si="41">+R$2</f>
        <v>Actual</v>
      </c>
      <c r="S121" s="222" t="str">
        <f t="shared" si="41"/>
        <v>FCCS_YTD_Input</v>
      </c>
      <c r="T121" s="222" t="s">
        <v>850</v>
      </c>
    </row>
    <row r="122" spans="2:20" x14ac:dyDescent="0.3">
      <c r="B122" s="219" t="s">
        <v>1014</v>
      </c>
      <c r="C122" s="220" t="s">
        <v>405</v>
      </c>
      <c r="D122" s="221" t="str">
        <f>[2]!HsSetValue(E122,"FCC","Scenario#"&amp;R122&amp;";Years#"&amp;J122&amp;";Period#"&amp;I122&amp;";View#"&amp;S122&amp;";Entity#"&amp;H122&amp;";Data Source#"&amp;K122&amp;";Account#"&amp;F122&amp;";Intercompany#"&amp;L122&amp;";Movement#"&amp;Q122&amp;";Consolidation#"&amp;T122&amp;";Custom1#"&amp;M122&amp;";Custom2#"&amp;N122&amp;";Custom3#"&amp;O122&amp;";Custom4#"&amp;P122&amp;"")</f>
        <v>#Invalid Syntax</v>
      </c>
      <c r="E122" s="221">
        <f>SUMIFS('Investment Analysis'!$H$22:$H$69,'Investment Analysis'!$E$22:$E$69,"Bond Securities",'Investment Analysis'!$AK$22:$AK$69,"23")</f>
        <v>0</v>
      </c>
      <c r="F122" s="222" t="s">
        <v>675</v>
      </c>
      <c r="G122" s="222" t="s">
        <v>1017</v>
      </c>
      <c r="H122" s="223" t="e">
        <f>+H$2</f>
        <v>#N/A</v>
      </c>
      <c r="I122" s="223" t="str">
        <f t="shared" si="38"/>
        <v>Jun</v>
      </c>
      <c r="J122" s="222" t="str">
        <f>+J$2</f>
        <v>FY25</v>
      </c>
      <c r="K122" s="222" t="str">
        <f t="shared" si="40"/>
        <v>FCCS_Other Data</v>
      </c>
      <c r="L122" s="222" t="str">
        <f t="shared" si="40"/>
        <v>FCCS_No Intercompany</v>
      </c>
      <c r="M122" s="222" t="str">
        <f>+M$1</f>
        <v>No Custom1</v>
      </c>
      <c r="N122" s="222" t="str">
        <f t="shared" si="40"/>
        <v>No Custom2</v>
      </c>
      <c r="O122" s="222" t="s">
        <v>731</v>
      </c>
      <c r="P122" s="222" t="s">
        <v>564</v>
      </c>
      <c r="Q122" s="222" t="str">
        <f t="shared" si="39"/>
        <v>FCCS_ClosingBalance_Input</v>
      </c>
      <c r="R122" s="222" t="str">
        <f t="shared" si="41"/>
        <v>Actual</v>
      </c>
      <c r="S122" s="222" t="str">
        <f t="shared" si="41"/>
        <v>FCCS_YTD_Input</v>
      </c>
      <c r="T122" s="222" t="s">
        <v>850</v>
      </c>
    </row>
    <row r="123" spans="2:20" x14ac:dyDescent="0.3">
      <c r="B123" s="219" t="s">
        <v>1014</v>
      </c>
      <c r="C123" s="220" t="s">
        <v>405</v>
      </c>
      <c r="D123" s="221" t="str">
        <f>[2]!HsSetValue(E123,"FCC","Scenario#"&amp;R123&amp;";Years#"&amp;J123&amp;";Period#"&amp;I123&amp;";View#"&amp;S123&amp;";Entity#"&amp;H123&amp;";Data Source#"&amp;K123&amp;";Account#"&amp;F123&amp;";Intercompany#"&amp;L123&amp;";Movement#"&amp;Q123&amp;";Consolidation#"&amp;T123&amp;";Custom1#"&amp;M123&amp;";Custom2#"&amp;N123&amp;";Custom3#"&amp;O123&amp;";Custom4#"&amp;P123&amp;"")</f>
        <v>#Invalid Syntax</v>
      </c>
      <c r="E123" s="221">
        <f>SUMIFS('Investment Analysis'!$H$22:$H$69,'Investment Analysis'!$E$22:$E$69,"Bond Securities",'Investment Analysis'!$AK$22:$AK$69,"24")</f>
        <v>0</v>
      </c>
      <c r="F123" s="222" t="s">
        <v>675</v>
      </c>
      <c r="G123" s="222" t="s">
        <v>1017</v>
      </c>
      <c r="H123" s="223" t="e">
        <f>+H$2</f>
        <v>#N/A</v>
      </c>
      <c r="I123" s="223" t="str">
        <f t="shared" si="38"/>
        <v>Jun</v>
      </c>
      <c r="J123" s="222" t="str">
        <f>+J$2</f>
        <v>FY25</v>
      </c>
      <c r="K123" s="222" t="str">
        <f t="shared" si="40"/>
        <v>FCCS_Other Data</v>
      </c>
      <c r="L123" s="222" t="str">
        <f t="shared" si="40"/>
        <v>FCCS_No Intercompany</v>
      </c>
      <c r="M123" s="222" t="str">
        <f>+M$1</f>
        <v>No Custom1</v>
      </c>
      <c r="N123" s="222" t="str">
        <f t="shared" si="40"/>
        <v>No Custom2</v>
      </c>
      <c r="O123" s="222" t="s">
        <v>732</v>
      </c>
      <c r="P123" s="222" t="s">
        <v>564</v>
      </c>
      <c r="Q123" s="222" t="str">
        <f t="shared" si="39"/>
        <v>FCCS_ClosingBalance_Input</v>
      </c>
      <c r="R123" s="222" t="str">
        <f t="shared" si="41"/>
        <v>Actual</v>
      </c>
      <c r="S123" s="222" t="str">
        <f t="shared" si="41"/>
        <v>FCCS_YTD_Input</v>
      </c>
      <c r="T123" s="222" t="s">
        <v>850</v>
      </c>
    </row>
    <row r="124" spans="2:20" x14ac:dyDescent="0.3">
      <c r="B124" s="219" t="s">
        <v>1014</v>
      </c>
      <c r="C124" s="220" t="s">
        <v>405</v>
      </c>
      <c r="D124" s="221" t="str">
        <f>[2]!HsSetValue(E124,"FCC","Scenario#"&amp;R124&amp;";Years#"&amp;J124&amp;";Period#"&amp;I124&amp;";View#"&amp;S124&amp;";Entity#"&amp;H124&amp;";Data Source#"&amp;K124&amp;";Account#"&amp;F124&amp;";Intercompany#"&amp;L124&amp;";Movement#"&amp;Q124&amp;";Consolidation#"&amp;T124&amp;";Custom1#"&amp;M124&amp;";Custom2#"&amp;N124&amp;";Custom3#"&amp;O124&amp;";Custom4#"&amp;P124&amp;"")</f>
        <v>#Invalid Syntax</v>
      </c>
      <c r="E124" s="221">
        <f>SUMIFS('Investment Analysis'!$H$22:$H$69,'Investment Analysis'!$E$22:$E$69,"Bond Securities",'Investment Analysis'!$AK$22:$AK$69,"25")</f>
        <v>0</v>
      </c>
      <c r="F124" s="222" t="s">
        <v>675</v>
      </c>
      <c r="G124" s="222" t="s">
        <v>1017</v>
      </c>
      <c r="H124" s="223" t="e">
        <f>+H$2</f>
        <v>#N/A</v>
      </c>
      <c r="I124" s="223" t="str">
        <f t="shared" si="38"/>
        <v>Jun</v>
      </c>
      <c r="J124" s="222" t="str">
        <f>+J$2</f>
        <v>FY25</v>
      </c>
      <c r="K124" s="222" t="str">
        <f t="shared" si="40"/>
        <v>FCCS_Other Data</v>
      </c>
      <c r="L124" s="222" t="str">
        <f t="shared" si="40"/>
        <v>FCCS_No Intercompany</v>
      </c>
      <c r="M124" s="222" t="str">
        <f>+M$1</f>
        <v>No Custom1</v>
      </c>
      <c r="N124" s="222" t="str">
        <f t="shared" si="40"/>
        <v>No Custom2</v>
      </c>
      <c r="O124" s="222" t="s">
        <v>733</v>
      </c>
      <c r="P124" s="222" t="s">
        <v>564</v>
      </c>
      <c r="Q124" s="222" t="str">
        <f t="shared" si="39"/>
        <v>FCCS_ClosingBalance_Input</v>
      </c>
      <c r="R124" s="222" t="str">
        <f t="shared" si="41"/>
        <v>Actual</v>
      </c>
      <c r="S124" s="222" t="str">
        <f t="shared" si="41"/>
        <v>FCCS_YTD_Input</v>
      </c>
      <c r="T124" s="222" t="s">
        <v>850</v>
      </c>
    </row>
    <row r="125" spans="2:20" x14ac:dyDescent="0.3">
      <c r="B125" s="210"/>
      <c r="C125" s="211"/>
      <c r="D125" s="212"/>
      <c r="E125" s="212"/>
    </row>
    <row r="126" spans="2:20" x14ac:dyDescent="0.3">
      <c r="B126" s="364" t="s">
        <v>668</v>
      </c>
      <c r="C126" s="364" t="s">
        <v>869</v>
      </c>
      <c r="D126" s="366" t="str">
        <f>[2]!HsSetValue(E126,"FCC","Scenario#"&amp;R126&amp;";Years#"&amp;J126&amp;";Period#"&amp;I126&amp;";View#"&amp;S126&amp;";Entity#"&amp;H126&amp;";Data Source#"&amp;K126&amp;";Account#"&amp;F126&amp;";Intercompany#"&amp;L126&amp;";Movement#"&amp;Q126&amp;";Consolidation#"&amp;T126&amp;";Custom1#"&amp;M126&amp;";Custom2#"&amp;N126&amp;";Custom3#"&amp;O126&amp;";Custom4#"&amp;P126&amp;"")</f>
        <v>#Invalid Syntax</v>
      </c>
      <c r="E126" s="366">
        <f>SUMIF('Investment Analysis'!$E$22:$E$69,'FCC Investments - Load Tab'!C126,'Investment Analysis'!$K$22:$K$69)</f>
        <v>0</v>
      </c>
      <c r="F126" s="367" t="s">
        <v>673</v>
      </c>
      <c r="G126" s="367" t="str">
        <f>"Inv. Analysis - Interest Rate Risk - "&amp;C126</f>
        <v xml:space="preserve">Inv. Analysis - Interest Rate Risk - Bank Deposits Held for Investment Purposes     </v>
      </c>
      <c r="H126" s="368" t="e">
        <f>+H$2</f>
        <v>#N/A</v>
      </c>
      <c r="I126" s="368" t="str">
        <f t="shared" si="38"/>
        <v>Jun</v>
      </c>
      <c r="J126" s="367" t="str">
        <f>+J$2</f>
        <v>FY25</v>
      </c>
      <c r="K126" s="367" t="s">
        <v>843</v>
      </c>
      <c r="L126" s="367" t="s">
        <v>844</v>
      </c>
      <c r="M126" s="367" t="s">
        <v>845</v>
      </c>
      <c r="N126" s="367" t="s">
        <v>846</v>
      </c>
      <c r="O126" s="367" t="s">
        <v>721</v>
      </c>
      <c r="P126" s="367" t="s">
        <v>873</v>
      </c>
      <c r="Q126" s="367" t="str">
        <f t="shared" si="39"/>
        <v>FCCS_ClosingBalance_Input</v>
      </c>
      <c r="R126" s="367" t="s">
        <v>169</v>
      </c>
      <c r="S126" s="367" t="s">
        <v>848</v>
      </c>
      <c r="T126" s="367" t="s">
        <v>850</v>
      </c>
    </row>
    <row r="127" spans="2:20" x14ac:dyDescent="0.3">
      <c r="B127" s="364" t="s">
        <v>668</v>
      </c>
      <c r="C127" s="364" t="s">
        <v>869</v>
      </c>
      <c r="D127" s="366" t="str">
        <f>[2]!HsSetValue(E127,"FCC","Scenario#"&amp;R127&amp;";Years#"&amp;J127&amp;";Period#"&amp;I127&amp;";View#"&amp;S127&amp;";Entity#"&amp;H127&amp;";Data Source#"&amp;K127&amp;";Account#"&amp;F127&amp;";Intercompany#"&amp;L127&amp;";Movement#"&amp;Q127&amp;";Consolidation#"&amp;T127&amp;";Custom1#"&amp;M127&amp;";Custom2#"&amp;N127&amp;";Custom3#"&amp;O127&amp;";Custom4#"&amp;P127&amp;"")</f>
        <v>#Invalid Syntax</v>
      </c>
      <c r="E127" s="366">
        <f>SUMIF('Investment Analysis'!$E$22:$E$69,'FCC Investments - Load Tab'!C126,'Investment Analysis'!$L$22:$L$69)</f>
        <v>0</v>
      </c>
      <c r="F127" s="367" t="s">
        <v>673</v>
      </c>
      <c r="G127" s="367" t="str">
        <f t="shared" ref="G127:G130" si="42">"Inv. Analysis - Interest Rate Risk - "&amp;C127</f>
        <v xml:space="preserve">Inv. Analysis - Interest Rate Risk - Bank Deposits Held for Investment Purposes     </v>
      </c>
      <c r="H127" s="368" t="e">
        <f>+H$2</f>
        <v>#N/A</v>
      </c>
      <c r="I127" s="368" t="str">
        <f t="shared" si="38"/>
        <v>Jun</v>
      </c>
      <c r="J127" s="367" t="str">
        <f>+J$2</f>
        <v>FY25</v>
      </c>
      <c r="K127" s="367" t="str">
        <f t="shared" ref="K127:N130" si="43">+K$2</f>
        <v>FCCS_Other Data</v>
      </c>
      <c r="L127" s="367" t="str">
        <f t="shared" si="43"/>
        <v>FCCS_No Intercompany</v>
      </c>
      <c r="M127" s="367" t="str">
        <f>+M$1</f>
        <v>No Custom1</v>
      </c>
      <c r="N127" s="367" t="str">
        <f t="shared" si="43"/>
        <v>No Custom2</v>
      </c>
      <c r="O127" s="367" t="s">
        <v>722</v>
      </c>
      <c r="P127" s="367" t="s">
        <v>873</v>
      </c>
      <c r="Q127" s="367" t="str">
        <f t="shared" si="39"/>
        <v>FCCS_ClosingBalance_Input</v>
      </c>
      <c r="R127" s="367" t="str">
        <f t="shared" ref="R127:S130" si="44">+R$2</f>
        <v>Actual</v>
      </c>
      <c r="S127" s="367" t="str">
        <f t="shared" si="44"/>
        <v>FCCS_YTD_Input</v>
      </c>
      <c r="T127" s="367" t="s">
        <v>850</v>
      </c>
    </row>
    <row r="128" spans="2:20" x14ac:dyDescent="0.3">
      <c r="B128" s="364" t="s">
        <v>668</v>
      </c>
      <c r="C128" s="364" t="s">
        <v>869</v>
      </c>
      <c r="D128" s="366" t="str">
        <f>[2]!HsSetValue(E128,"FCC","Scenario#"&amp;R128&amp;";Years#"&amp;J128&amp;";Period#"&amp;I128&amp;";View#"&amp;S128&amp;";Entity#"&amp;H128&amp;";Data Source#"&amp;K128&amp;";Account#"&amp;F128&amp;";Intercompany#"&amp;L128&amp;";Movement#"&amp;Q128&amp;";Consolidation#"&amp;T128&amp;";Custom1#"&amp;M128&amp;";Custom2#"&amp;N128&amp;";Custom3#"&amp;O128&amp;";Custom4#"&amp;P128&amp;"")</f>
        <v>#Invalid Syntax</v>
      </c>
      <c r="E128" s="366">
        <f>SUMIF('Investment Analysis'!$E$22:$E$69,'FCC Investments - Load Tab'!C126,'Investment Analysis'!$M$22:$M$69)</f>
        <v>0</v>
      </c>
      <c r="F128" s="367" t="s">
        <v>673</v>
      </c>
      <c r="G128" s="367" t="str">
        <f t="shared" si="42"/>
        <v xml:space="preserve">Inv. Analysis - Interest Rate Risk - Bank Deposits Held for Investment Purposes     </v>
      </c>
      <c r="H128" s="368" t="e">
        <f>+H$2</f>
        <v>#N/A</v>
      </c>
      <c r="I128" s="368" t="str">
        <f t="shared" si="38"/>
        <v>Jun</v>
      </c>
      <c r="J128" s="367" t="str">
        <f>+J$2</f>
        <v>FY25</v>
      </c>
      <c r="K128" s="367" t="str">
        <f t="shared" si="43"/>
        <v>FCCS_Other Data</v>
      </c>
      <c r="L128" s="367" t="str">
        <f t="shared" si="43"/>
        <v>FCCS_No Intercompany</v>
      </c>
      <c r="M128" s="367" t="str">
        <f>+M$1</f>
        <v>No Custom1</v>
      </c>
      <c r="N128" s="367" t="str">
        <f t="shared" si="43"/>
        <v>No Custom2</v>
      </c>
      <c r="O128" s="367" t="s">
        <v>723</v>
      </c>
      <c r="P128" s="367" t="s">
        <v>873</v>
      </c>
      <c r="Q128" s="367" t="str">
        <f t="shared" si="39"/>
        <v>FCCS_ClosingBalance_Input</v>
      </c>
      <c r="R128" s="367" t="str">
        <f t="shared" si="44"/>
        <v>Actual</v>
      </c>
      <c r="S128" s="367" t="str">
        <f t="shared" si="44"/>
        <v>FCCS_YTD_Input</v>
      </c>
      <c r="T128" s="367" t="s">
        <v>850</v>
      </c>
    </row>
    <row r="129" spans="2:20" x14ac:dyDescent="0.3">
      <c r="B129" s="364" t="s">
        <v>668</v>
      </c>
      <c r="C129" s="364" t="s">
        <v>869</v>
      </c>
      <c r="D129" s="366" t="str">
        <f>[2]!HsSetValue(E129,"FCC","Scenario#"&amp;R129&amp;";Years#"&amp;J129&amp;";Period#"&amp;I129&amp;";View#"&amp;S129&amp;";Entity#"&amp;H129&amp;";Data Source#"&amp;K129&amp;";Account#"&amp;F129&amp;";Intercompany#"&amp;L129&amp;";Movement#"&amp;Q129&amp;";Consolidation#"&amp;T129&amp;";Custom1#"&amp;M129&amp;";Custom2#"&amp;N129&amp;";Custom3#"&amp;O129&amp;";Custom4#"&amp;P129&amp;"")</f>
        <v>#Invalid Syntax</v>
      </c>
      <c r="E129" s="366">
        <f>SUMIF('Investment Analysis'!$E$22:$E$69,'FCC Investments - Load Tab'!C129,'Investment Analysis'!$N$22:$N$69)</f>
        <v>0</v>
      </c>
      <c r="F129" s="367" t="s">
        <v>673</v>
      </c>
      <c r="G129" s="367" t="str">
        <f t="shared" si="42"/>
        <v xml:space="preserve">Inv. Analysis - Interest Rate Risk - Bank Deposits Held for Investment Purposes     </v>
      </c>
      <c r="H129" s="368" t="e">
        <f>+H$2</f>
        <v>#N/A</v>
      </c>
      <c r="I129" s="368" t="str">
        <f t="shared" si="38"/>
        <v>Jun</v>
      </c>
      <c r="J129" s="367" t="str">
        <f>+J$2</f>
        <v>FY25</v>
      </c>
      <c r="K129" s="367" t="str">
        <f t="shared" si="43"/>
        <v>FCCS_Other Data</v>
      </c>
      <c r="L129" s="367" t="str">
        <f t="shared" si="43"/>
        <v>FCCS_No Intercompany</v>
      </c>
      <c r="M129" s="367" t="str">
        <f>+M$1</f>
        <v>No Custom1</v>
      </c>
      <c r="N129" s="367" t="str">
        <f t="shared" si="43"/>
        <v>No Custom2</v>
      </c>
      <c r="O129" s="367" t="s">
        <v>724</v>
      </c>
      <c r="P129" s="367" t="s">
        <v>873</v>
      </c>
      <c r="Q129" s="367" t="str">
        <f t="shared" si="39"/>
        <v>FCCS_ClosingBalance_Input</v>
      </c>
      <c r="R129" s="367" t="str">
        <f t="shared" si="44"/>
        <v>Actual</v>
      </c>
      <c r="S129" s="367" t="str">
        <f t="shared" si="44"/>
        <v>FCCS_YTD_Input</v>
      </c>
      <c r="T129" s="367" t="s">
        <v>850</v>
      </c>
    </row>
    <row r="130" spans="2:20" x14ac:dyDescent="0.3">
      <c r="B130" s="364" t="s">
        <v>668</v>
      </c>
      <c r="C130" s="364" t="s">
        <v>869</v>
      </c>
      <c r="D130" s="366" t="str">
        <f>[2]!HsSetValue(E130,"FCC","Scenario#"&amp;R130&amp;";Years#"&amp;J130&amp;";Period#"&amp;I130&amp;";View#"&amp;S130&amp;";Entity#"&amp;H130&amp;";Data Source#"&amp;K130&amp;";Account#"&amp;F130&amp;";Intercompany#"&amp;L130&amp;";Movement#"&amp;Q130&amp;";Consolidation#"&amp;T130&amp;";Custom1#"&amp;M130&amp;";Custom2#"&amp;N130&amp;";Custom3#"&amp;O130&amp;";Custom4#"&amp;P130&amp;"")</f>
        <v>#Invalid Syntax</v>
      </c>
      <c r="E130" s="366">
        <f>SUMIF('Investment Analysis'!$E$2:$E$69,'FCC Investments - Load Tab'!C130,'Investment Analysis'!$O$2:$O$69)</f>
        <v>0</v>
      </c>
      <c r="F130" s="367" t="s">
        <v>673</v>
      </c>
      <c r="G130" s="367" t="str">
        <f t="shared" si="42"/>
        <v xml:space="preserve">Inv. Analysis - Interest Rate Risk - Bank Deposits Held for Investment Purposes     </v>
      </c>
      <c r="H130" s="368" t="e">
        <f>+H$2</f>
        <v>#N/A</v>
      </c>
      <c r="I130" s="368" t="str">
        <f t="shared" si="38"/>
        <v>Jun</v>
      </c>
      <c r="J130" s="367" t="str">
        <f>+J$2</f>
        <v>FY25</v>
      </c>
      <c r="K130" s="367" t="str">
        <f t="shared" si="43"/>
        <v>FCCS_Other Data</v>
      </c>
      <c r="L130" s="367" t="str">
        <f t="shared" si="43"/>
        <v>FCCS_No Intercompany</v>
      </c>
      <c r="M130" s="367" t="str">
        <f>+M$1</f>
        <v>No Custom1</v>
      </c>
      <c r="N130" s="367" t="str">
        <f t="shared" si="43"/>
        <v>No Custom2</v>
      </c>
      <c r="O130" s="367" t="s">
        <v>725</v>
      </c>
      <c r="P130" s="367" t="s">
        <v>873</v>
      </c>
      <c r="Q130" s="367" t="str">
        <f t="shared" si="39"/>
        <v>FCCS_ClosingBalance_Input</v>
      </c>
      <c r="R130" s="367" t="str">
        <f t="shared" si="44"/>
        <v>Actual</v>
      </c>
      <c r="S130" s="367" t="str">
        <f t="shared" si="44"/>
        <v>FCCS_YTD_Input</v>
      </c>
      <c r="T130" s="367" t="s">
        <v>850</v>
      </c>
    </row>
    <row r="131" spans="2:20" ht="16.5" customHeight="1" x14ac:dyDescent="0.3">
      <c r="B131" s="210"/>
      <c r="C131" s="211"/>
      <c r="D131" s="212"/>
      <c r="E131" s="212"/>
    </row>
    <row r="132" spans="2:20" x14ac:dyDescent="0.3">
      <c r="B132" s="214" t="s">
        <v>667</v>
      </c>
      <c r="C132" s="214" t="s">
        <v>869</v>
      </c>
      <c r="D132" s="216" t="str">
        <f>[2]!HsSetValue(E132,"FCC","Scenario#"&amp;R132&amp;";Years#"&amp;J132&amp;";Period#"&amp;I132&amp;";View#"&amp;S132&amp;";Entity#"&amp;H132&amp;";Data Source#"&amp;K132&amp;";Account#"&amp;F132&amp;";Intercompany#"&amp;L132&amp;";Movement#"&amp;Q132&amp;";Consolidation#"&amp;T132&amp;";Custom1#"&amp;M132&amp;";Custom2#"&amp;N132&amp;";Custom3#"&amp;O132&amp;";Custom4#"&amp;P132&amp;"")</f>
        <v>#Invalid Syntax</v>
      </c>
      <c r="E132" s="216">
        <f>SUMIFS('Investment Analysis'!$H$22:$H$69,'Investment Analysis'!$E$22:$E$69,"Bank Deposits Held for Investment Purposes",'Investment Analysis'!$AB$22:$AB$69,"10")</f>
        <v>0</v>
      </c>
      <c r="F132" s="217" t="s">
        <v>674</v>
      </c>
      <c r="G132" s="217" t="str">
        <f t="shared" ref="G132:G145" si="45">"Inv. Analysis - Credit Quality Risk - "&amp;C132</f>
        <v xml:space="preserve">Inv. Analysis - Credit Quality Risk - Bank Deposits Held for Investment Purposes     </v>
      </c>
      <c r="H132" s="218" t="e">
        <f t="shared" ref="H132:N145" si="46">+H$2</f>
        <v>#N/A</v>
      </c>
      <c r="I132" s="218" t="str">
        <f t="shared" si="46"/>
        <v>Jun</v>
      </c>
      <c r="J132" s="217" t="str">
        <f t="shared" si="46"/>
        <v>FY25</v>
      </c>
      <c r="K132" s="217" t="str">
        <f t="shared" si="46"/>
        <v>FCCS_Other Data</v>
      </c>
      <c r="L132" s="217" t="str">
        <f t="shared" si="46"/>
        <v>FCCS_No Intercompany</v>
      </c>
      <c r="M132" s="217" t="str">
        <f t="shared" ref="M132:M145" si="47">+M$1</f>
        <v>No Custom1</v>
      </c>
      <c r="N132" s="217" t="str">
        <f t="shared" si="46"/>
        <v>No Custom2</v>
      </c>
      <c r="O132" s="217" t="s">
        <v>433</v>
      </c>
      <c r="P132" s="217" t="s">
        <v>873</v>
      </c>
      <c r="Q132" s="217" t="str">
        <f t="shared" ref="Q132:Q145" si="48">Q$2</f>
        <v>FCCS_ClosingBalance_Input</v>
      </c>
      <c r="R132" s="217" t="str">
        <f t="shared" ref="R132:S145" si="49">+R$2</f>
        <v>Actual</v>
      </c>
      <c r="S132" s="217" t="str">
        <f t="shared" si="49"/>
        <v>FCCS_YTD_Input</v>
      </c>
      <c r="T132" s="217" t="s">
        <v>850</v>
      </c>
    </row>
    <row r="133" spans="2:20" x14ac:dyDescent="0.3">
      <c r="B133" s="214" t="s">
        <v>667</v>
      </c>
      <c r="C133" s="214" t="s">
        <v>869</v>
      </c>
      <c r="D133" s="216" t="str">
        <f>[2]!HsSetValue(E133,"FCC","Scenario#"&amp;R133&amp;";Years#"&amp;J133&amp;";Period#"&amp;I133&amp;";View#"&amp;S133&amp;";Entity#"&amp;H133&amp;";Data Source#"&amp;K133&amp;";Account#"&amp;F133&amp;";Intercompany#"&amp;L133&amp;";Movement#"&amp;Q133&amp;";Consolidation#"&amp;T133&amp;";Custom1#"&amp;M133&amp;";Custom2#"&amp;N133&amp;";Custom3#"&amp;O133&amp;";Custom4#"&amp;P133&amp;"")</f>
        <v>#Invalid Syntax</v>
      </c>
      <c r="E133" s="216">
        <f>SUMIFS('Investment Analysis'!$H$22:$H$69,'Investment Analysis'!$E$22:$E$69,"Bank Deposits Held for Investment Purposes",'Investment Analysis'!$AB$22:$AB$69,"9")</f>
        <v>0</v>
      </c>
      <c r="F133" s="217" t="s">
        <v>674</v>
      </c>
      <c r="G133" s="217" t="str">
        <f t="shared" si="45"/>
        <v xml:space="preserve">Inv. Analysis - Credit Quality Risk - Bank Deposits Held for Investment Purposes     </v>
      </c>
      <c r="H133" s="218" t="e">
        <f t="shared" si="46"/>
        <v>#N/A</v>
      </c>
      <c r="I133" s="218" t="str">
        <f t="shared" si="46"/>
        <v>Jun</v>
      </c>
      <c r="J133" s="217" t="str">
        <f t="shared" si="46"/>
        <v>FY25</v>
      </c>
      <c r="K133" s="217" t="str">
        <f t="shared" si="46"/>
        <v>FCCS_Other Data</v>
      </c>
      <c r="L133" s="217" t="str">
        <f t="shared" si="46"/>
        <v>FCCS_No Intercompany</v>
      </c>
      <c r="M133" s="217" t="str">
        <f t="shared" si="47"/>
        <v>No Custom1</v>
      </c>
      <c r="N133" s="217" t="str">
        <f t="shared" si="46"/>
        <v>No Custom2</v>
      </c>
      <c r="O133" s="217" t="s">
        <v>596</v>
      </c>
      <c r="P133" s="217" t="s">
        <v>873</v>
      </c>
      <c r="Q133" s="217" t="str">
        <f t="shared" si="48"/>
        <v>FCCS_ClosingBalance_Input</v>
      </c>
      <c r="R133" s="217" t="str">
        <f t="shared" si="49"/>
        <v>Actual</v>
      </c>
      <c r="S133" s="217" t="str">
        <f t="shared" si="49"/>
        <v>FCCS_YTD_Input</v>
      </c>
      <c r="T133" s="217" t="s">
        <v>850</v>
      </c>
    </row>
    <row r="134" spans="2:20" x14ac:dyDescent="0.3">
      <c r="B134" s="214" t="s">
        <v>667</v>
      </c>
      <c r="C134" s="214" t="s">
        <v>869</v>
      </c>
      <c r="D134" s="216" t="str">
        <f>[2]!HsSetValue(E134,"FCC","Scenario#"&amp;R134&amp;";Years#"&amp;J134&amp;";Period#"&amp;I134&amp;";View#"&amp;S134&amp;";Entity#"&amp;H134&amp;";Data Source#"&amp;K134&amp;";Account#"&amp;F134&amp;";Intercompany#"&amp;L134&amp;";Movement#"&amp;Q134&amp;";Consolidation#"&amp;T134&amp;";Custom1#"&amp;M134&amp;";Custom2#"&amp;N134&amp;";Custom3#"&amp;O134&amp;";Custom4#"&amp;P134&amp;"")</f>
        <v>#Invalid Syntax</v>
      </c>
      <c r="E134" s="216">
        <f>SUMIFS('Investment Analysis'!$H$22:$H$69,'Investment Analysis'!$E$22:$E$69,"Bank Deposits Held for Investment Purposes",'Investment Analysis'!$AB$22:$AB$69,"8")</f>
        <v>0</v>
      </c>
      <c r="F134" s="217" t="s">
        <v>674</v>
      </c>
      <c r="G134" s="217" t="str">
        <f t="shared" si="45"/>
        <v xml:space="preserve">Inv. Analysis - Credit Quality Risk - Bank Deposits Held for Investment Purposes     </v>
      </c>
      <c r="H134" s="218" t="e">
        <f t="shared" si="46"/>
        <v>#N/A</v>
      </c>
      <c r="I134" s="218" t="str">
        <f t="shared" si="46"/>
        <v>Jun</v>
      </c>
      <c r="J134" s="217" t="str">
        <f t="shared" si="46"/>
        <v>FY25</v>
      </c>
      <c r="K134" s="217" t="str">
        <f t="shared" si="46"/>
        <v>FCCS_Other Data</v>
      </c>
      <c r="L134" s="217" t="str">
        <f t="shared" si="46"/>
        <v>FCCS_No Intercompany</v>
      </c>
      <c r="M134" s="217" t="str">
        <f t="shared" si="47"/>
        <v>No Custom1</v>
      </c>
      <c r="N134" s="217" t="str">
        <f t="shared" si="46"/>
        <v>No Custom2</v>
      </c>
      <c r="O134" s="217" t="s">
        <v>61</v>
      </c>
      <c r="P134" s="217" t="s">
        <v>873</v>
      </c>
      <c r="Q134" s="217" t="str">
        <f t="shared" si="48"/>
        <v>FCCS_ClosingBalance_Input</v>
      </c>
      <c r="R134" s="217" t="str">
        <f t="shared" si="49"/>
        <v>Actual</v>
      </c>
      <c r="S134" s="217" t="str">
        <f t="shared" si="49"/>
        <v>FCCS_YTD_Input</v>
      </c>
      <c r="T134" s="217" t="s">
        <v>850</v>
      </c>
    </row>
    <row r="135" spans="2:20" x14ac:dyDescent="0.3">
      <c r="B135" s="214" t="s">
        <v>667</v>
      </c>
      <c r="C135" s="214" t="s">
        <v>869</v>
      </c>
      <c r="D135" s="216" t="str">
        <f>[2]!HsSetValue(E135,"FCC","Scenario#"&amp;R135&amp;";Years#"&amp;J135&amp;";Period#"&amp;I135&amp;";View#"&amp;S135&amp;";Entity#"&amp;H135&amp;";Data Source#"&amp;K135&amp;";Account#"&amp;F135&amp;";Intercompany#"&amp;L135&amp;";Movement#"&amp;Q135&amp;";Consolidation#"&amp;T135&amp;";Custom1#"&amp;M135&amp;";Custom2#"&amp;N135&amp;";Custom3#"&amp;O135&amp;";Custom4#"&amp;P135&amp;"")</f>
        <v>#Invalid Syntax</v>
      </c>
      <c r="E135" s="216">
        <f>SUMIFS('Investment Analysis'!$H$22:$H$69,'Investment Analysis'!$E$22:$E$69,"Bank Deposits Held for Investment Purposes",'Investment Analysis'!$AB$22:$AB$69,"7")</f>
        <v>0</v>
      </c>
      <c r="F135" s="217" t="s">
        <v>674</v>
      </c>
      <c r="G135" s="217" t="str">
        <f t="shared" si="45"/>
        <v xml:space="preserve">Inv. Analysis - Credit Quality Risk - Bank Deposits Held for Investment Purposes     </v>
      </c>
      <c r="H135" s="218" t="e">
        <f t="shared" si="46"/>
        <v>#N/A</v>
      </c>
      <c r="I135" s="218" t="str">
        <f t="shared" si="46"/>
        <v>Jun</v>
      </c>
      <c r="J135" s="217" t="str">
        <f t="shared" si="46"/>
        <v>FY25</v>
      </c>
      <c r="K135" s="217" t="str">
        <f t="shared" si="46"/>
        <v>FCCS_Other Data</v>
      </c>
      <c r="L135" s="217" t="str">
        <f t="shared" si="46"/>
        <v>FCCS_No Intercompany</v>
      </c>
      <c r="M135" s="217" t="str">
        <f t="shared" si="47"/>
        <v>No Custom1</v>
      </c>
      <c r="N135" s="217" t="str">
        <f t="shared" si="46"/>
        <v>No Custom2</v>
      </c>
      <c r="O135" s="217" t="s">
        <v>62</v>
      </c>
      <c r="P135" s="217" t="s">
        <v>873</v>
      </c>
      <c r="Q135" s="217" t="str">
        <f t="shared" si="48"/>
        <v>FCCS_ClosingBalance_Input</v>
      </c>
      <c r="R135" s="217" t="str">
        <f t="shared" si="49"/>
        <v>Actual</v>
      </c>
      <c r="S135" s="217" t="str">
        <f t="shared" si="49"/>
        <v>FCCS_YTD_Input</v>
      </c>
      <c r="T135" s="217" t="s">
        <v>850</v>
      </c>
    </row>
    <row r="136" spans="2:20" x14ac:dyDescent="0.3">
      <c r="B136" s="214" t="s">
        <v>667</v>
      </c>
      <c r="C136" s="214" t="s">
        <v>869</v>
      </c>
      <c r="D136" s="216" t="str">
        <f>[2]!HsSetValue(E136,"FCC","Scenario#"&amp;R136&amp;";Years#"&amp;J136&amp;";Period#"&amp;I136&amp;";View#"&amp;S136&amp;";Entity#"&amp;H136&amp;";Data Source#"&amp;K136&amp;";Account#"&amp;F136&amp;";Intercompany#"&amp;L136&amp;";Movement#"&amp;Q136&amp;";Consolidation#"&amp;T136&amp;";Custom1#"&amp;M136&amp;";Custom2#"&amp;N136&amp;";Custom3#"&amp;O136&amp;";Custom4#"&amp;P136&amp;"")</f>
        <v>#Invalid Syntax</v>
      </c>
      <c r="E136" s="216">
        <f>SUMIFS('Investment Analysis'!$H$22:$H$69,'Investment Analysis'!$E$22:$E$69,"Bank Deposits Held for Investment Purposes",'Investment Analysis'!$AB$22:$AB$69,"6")</f>
        <v>0</v>
      </c>
      <c r="F136" s="217" t="s">
        <v>674</v>
      </c>
      <c r="G136" s="217" t="str">
        <f t="shared" si="45"/>
        <v xml:space="preserve">Inv. Analysis - Credit Quality Risk - Bank Deposits Held for Investment Purposes     </v>
      </c>
      <c r="H136" s="218" t="e">
        <f t="shared" si="46"/>
        <v>#N/A</v>
      </c>
      <c r="I136" s="218" t="str">
        <f t="shared" si="46"/>
        <v>Jun</v>
      </c>
      <c r="J136" s="217" t="str">
        <f t="shared" si="46"/>
        <v>FY25</v>
      </c>
      <c r="K136" s="217" t="str">
        <f t="shared" si="46"/>
        <v>FCCS_Other Data</v>
      </c>
      <c r="L136" s="217" t="str">
        <f t="shared" si="46"/>
        <v>FCCS_No Intercompany</v>
      </c>
      <c r="M136" s="217" t="str">
        <f t="shared" si="47"/>
        <v>No Custom1</v>
      </c>
      <c r="N136" s="217" t="str">
        <f t="shared" si="46"/>
        <v>No Custom2</v>
      </c>
      <c r="O136" s="217" t="s">
        <v>436</v>
      </c>
      <c r="P136" s="217" t="s">
        <v>873</v>
      </c>
      <c r="Q136" s="217" t="str">
        <f t="shared" si="48"/>
        <v>FCCS_ClosingBalance_Input</v>
      </c>
      <c r="R136" s="217" t="str">
        <f t="shared" si="49"/>
        <v>Actual</v>
      </c>
      <c r="S136" s="217" t="str">
        <f t="shared" si="49"/>
        <v>FCCS_YTD_Input</v>
      </c>
      <c r="T136" s="217" t="s">
        <v>850</v>
      </c>
    </row>
    <row r="137" spans="2:20" s="371" customFormat="1" x14ac:dyDescent="0.3">
      <c r="B137" s="214" t="s">
        <v>667</v>
      </c>
      <c r="C137" s="214" t="s">
        <v>869</v>
      </c>
      <c r="D137" s="216" t="str">
        <f>[2]!HsSetValue(E137,"FCC","Scenario#"&amp;R137&amp;";Years#"&amp;J137&amp;";Period#"&amp;I137&amp;";View#"&amp;S137&amp;";Entity#"&amp;H137&amp;";Data Source#"&amp;K137&amp;";Account#"&amp;F137&amp;";Intercompany#"&amp;L137&amp;";Movement#"&amp;Q137&amp;";Consolidation#"&amp;T137&amp;";Custom1#"&amp;M137&amp;";Custom2#"&amp;N137&amp;";Custom3#"&amp;O137&amp;";Custom4#"&amp;P137&amp;"")</f>
        <v>#Invalid Syntax</v>
      </c>
      <c r="E137" s="216">
        <f>SUMIFS('Investment Analysis'!$H$22:$H$69,'Investment Analysis'!$E$22:$E$69,"Bank Deposits Held for Investment Purposes",'Investment Analysis'!$AB$22:$AB$69,"5")</f>
        <v>0</v>
      </c>
      <c r="F137" s="217" t="s">
        <v>674</v>
      </c>
      <c r="G137" s="217" t="str">
        <f t="shared" si="45"/>
        <v xml:space="preserve">Inv. Analysis - Credit Quality Risk - Bank Deposits Held for Investment Purposes     </v>
      </c>
      <c r="H137" s="218" t="e">
        <f t="shared" si="46"/>
        <v>#N/A</v>
      </c>
      <c r="I137" s="218" t="str">
        <f t="shared" si="46"/>
        <v>Jun</v>
      </c>
      <c r="J137" s="217" t="str">
        <f t="shared" si="46"/>
        <v>FY25</v>
      </c>
      <c r="K137" s="217" t="str">
        <f t="shared" si="46"/>
        <v>FCCS_Other Data</v>
      </c>
      <c r="L137" s="217" t="str">
        <f t="shared" si="46"/>
        <v>FCCS_No Intercompany</v>
      </c>
      <c r="M137" s="217" t="str">
        <f t="shared" si="47"/>
        <v>No Custom1</v>
      </c>
      <c r="N137" s="217" t="str">
        <f t="shared" si="46"/>
        <v>No Custom2</v>
      </c>
      <c r="O137" s="217" t="s">
        <v>434</v>
      </c>
      <c r="P137" s="217" t="s">
        <v>873</v>
      </c>
      <c r="Q137" s="217" t="str">
        <f t="shared" si="48"/>
        <v>FCCS_ClosingBalance_Input</v>
      </c>
      <c r="R137" s="217" t="str">
        <f t="shared" si="49"/>
        <v>Actual</v>
      </c>
      <c r="S137" s="217" t="str">
        <f t="shared" si="49"/>
        <v>FCCS_YTD_Input</v>
      </c>
      <c r="T137" s="217" t="s">
        <v>850</v>
      </c>
    </row>
    <row r="138" spans="2:20" s="371" customFormat="1" x14ac:dyDescent="0.3">
      <c r="B138" s="214" t="s">
        <v>667</v>
      </c>
      <c r="C138" s="214" t="s">
        <v>869</v>
      </c>
      <c r="D138" s="216" t="str">
        <f>[2]!HsSetValue(E138,"FCC","Scenario#"&amp;R138&amp;";Years#"&amp;J138&amp;";Period#"&amp;I138&amp;";View#"&amp;S138&amp;";Entity#"&amp;H138&amp;";Data Source#"&amp;K138&amp;";Account#"&amp;F138&amp;";Intercompany#"&amp;L138&amp;";Movement#"&amp;Q138&amp;";Consolidation#"&amp;T138&amp;";Custom1#"&amp;M138&amp;";Custom2#"&amp;N138&amp;";Custom3#"&amp;O138&amp;";Custom4#"&amp;P138&amp;"")</f>
        <v>#Invalid Syntax</v>
      </c>
      <c r="E138" s="216">
        <f>SUMIFS('Investment Analysis'!$H$22:$H$69,'Investment Analysis'!$E$22:$E$69,"Bank Deposits Held for Investment Purposes",'Investment Analysis'!$AB$22:$AB$69,"4")</f>
        <v>0</v>
      </c>
      <c r="F138" s="217" t="s">
        <v>674</v>
      </c>
      <c r="G138" s="217" t="str">
        <f t="shared" si="45"/>
        <v xml:space="preserve">Inv. Analysis - Credit Quality Risk - Bank Deposits Held for Investment Purposes     </v>
      </c>
      <c r="H138" s="218" t="e">
        <f t="shared" si="46"/>
        <v>#N/A</v>
      </c>
      <c r="I138" s="218" t="str">
        <f t="shared" si="46"/>
        <v>Jun</v>
      </c>
      <c r="J138" s="217" t="str">
        <f t="shared" si="46"/>
        <v>FY25</v>
      </c>
      <c r="K138" s="217" t="str">
        <f t="shared" si="46"/>
        <v>FCCS_Other Data</v>
      </c>
      <c r="L138" s="217" t="str">
        <f t="shared" si="46"/>
        <v>FCCS_No Intercompany</v>
      </c>
      <c r="M138" s="217" t="str">
        <f t="shared" si="47"/>
        <v>No Custom1</v>
      </c>
      <c r="N138" s="217" t="str">
        <f t="shared" si="46"/>
        <v>No Custom2</v>
      </c>
      <c r="O138" s="217" t="s">
        <v>63</v>
      </c>
      <c r="P138" s="217" t="s">
        <v>873</v>
      </c>
      <c r="Q138" s="217" t="str">
        <f t="shared" si="48"/>
        <v>FCCS_ClosingBalance_Input</v>
      </c>
      <c r="R138" s="217" t="str">
        <f t="shared" si="49"/>
        <v>Actual</v>
      </c>
      <c r="S138" s="217" t="str">
        <f t="shared" si="49"/>
        <v>FCCS_YTD_Input</v>
      </c>
      <c r="T138" s="217" t="s">
        <v>850</v>
      </c>
    </row>
    <row r="139" spans="2:20" s="371" customFormat="1" x14ac:dyDescent="0.3">
      <c r="B139" s="214" t="s">
        <v>667</v>
      </c>
      <c r="C139" s="214" t="s">
        <v>869</v>
      </c>
      <c r="D139" s="216" t="str">
        <f>[2]!HsSetValue(E139,"FCC","Scenario#"&amp;R139&amp;";Years#"&amp;J139&amp;";Period#"&amp;I139&amp;";View#"&amp;S139&amp;";Entity#"&amp;H139&amp;";Data Source#"&amp;K139&amp;";Account#"&amp;F139&amp;";Intercompany#"&amp;L139&amp;";Movement#"&amp;Q139&amp;";Consolidation#"&amp;T139&amp;";Custom1#"&amp;M139&amp;";Custom2#"&amp;N139&amp;";Custom3#"&amp;O139&amp;";Custom4#"&amp;P139&amp;"")</f>
        <v>#Invalid Syntax</v>
      </c>
      <c r="E139" s="216">
        <f>SUMIFS('Investment Analysis'!$H$22:$H$69,'Investment Analysis'!$E$22:$E$69,"Bank Deposits Held for Investment Purposes",'Investment Analysis'!$AB$22:$AB$69,"3")</f>
        <v>0</v>
      </c>
      <c r="F139" s="217" t="s">
        <v>674</v>
      </c>
      <c r="G139" s="217" t="str">
        <f t="shared" si="45"/>
        <v xml:space="preserve">Inv. Analysis - Credit Quality Risk - Bank Deposits Held for Investment Purposes     </v>
      </c>
      <c r="H139" s="218" t="e">
        <f t="shared" si="46"/>
        <v>#N/A</v>
      </c>
      <c r="I139" s="218" t="str">
        <f t="shared" si="46"/>
        <v>Jun</v>
      </c>
      <c r="J139" s="217" t="str">
        <f t="shared" si="46"/>
        <v>FY25</v>
      </c>
      <c r="K139" s="217" t="str">
        <f t="shared" si="46"/>
        <v>FCCS_Other Data</v>
      </c>
      <c r="L139" s="217" t="str">
        <f t="shared" si="46"/>
        <v>FCCS_No Intercompany</v>
      </c>
      <c r="M139" s="217" t="str">
        <f t="shared" si="47"/>
        <v>No Custom1</v>
      </c>
      <c r="N139" s="217" t="str">
        <f t="shared" si="46"/>
        <v>No Custom2</v>
      </c>
      <c r="O139" s="217" t="s">
        <v>622</v>
      </c>
      <c r="P139" s="217" t="s">
        <v>873</v>
      </c>
      <c r="Q139" s="217" t="str">
        <f t="shared" si="48"/>
        <v>FCCS_ClosingBalance_Input</v>
      </c>
      <c r="R139" s="217" t="str">
        <f t="shared" si="49"/>
        <v>Actual</v>
      </c>
      <c r="S139" s="217" t="str">
        <f t="shared" si="49"/>
        <v>FCCS_YTD_Input</v>
      </c>
      <c r="T139" s="217" t="s">
        <v>850</v>
      </c>
    </row>
    <row r="140" spans="2:20" s="371" customFormat="1" x14ac:dyDescent="0.3">
      <c r="B140" s="214" t="s">
        <v>667</v>
      </c>
      <c r="C140" s="214" t="s">
        <v>869</v>
      </c>
      <c r="D140" s="216" t="str">
        <f>[2]!HsSetValue(E140,"FCC","Scenario#"&amp;R140&amp;";Years#"&amp;J140&amp;";Period#"&amp;I140&amp;";View#"&amp;S140&amp;";Entity#"&amp;H140&amp;";Data Source#"&amp;K140&amp;";Account#"&amp;F140&amp;";Intercompany#"&amp;L140&amp;";Movement#"&amp;Q140&amp;";Consolidation#"&amp;T140&amp;";Custom1#"&amp;M140&amp;";Custom2#"&amp;N140&amp;";Custom3#"&amp;O140&amp;";Custom4#"&amp;P140&amp;"")</f>
        <v>#Invalid Syntax</v>
      </c>
      <c r="E140" s="216">
        <f>SUMIFS('Investment Analysis'!$H$22:$H$69,'Investment Analysis'!$E$22:$E$69,"Bank Deposits Held for Investment Purposes",'Investment Analysis'!$AB$22:$AB$69,"2")</f>
        <v>0</v>
      </c>
      <c r="F140" s="217" t="s">
        <v>674</v>
      </c>
      <c r="G140" s="217" t="str">
        <f t="shared" si="45"/>
        <v xml:space="preserve">Inv. Analysis - Credit Quality Risk - Bank Deposits Held for Investment Purposes     </v>
      </c>
      <c r="H140" s="218" t="e">
        <f t="shared" si="46"/>
        <v>#N/A</v>
      </c>
      <c r="I140" s="218" t="str">
        <f t="shared" si="46"/>
        <v>Jun</v>
      </c>
      <c r="J140" s="217" t="str">
        <f t="shared" si="46"/>
        <v>FY25</v>
      </c>
      <c r="K140" s="217" t="str">
        <f t="shared" si="46"/>
        <v>FCCS_Other Data</v>
      </c>
      <c r="L140" s="217" t="str">
        <f t="shared" si="46"/>
        <v>FCCS_No Intercompany</v>
      </c>
      <c r="M140" s="217" t="str">
        <f t="shared" si="47"/>
        <v>No Custom1</v>
      </c>
      <c r="N140" s="217" t="str">
        <f t="shared" si="46"/>
        <v>No Custom2</v>
      </c>
      <c r="O140" s="217" t="s">
        <v>618</v>
      </c>
      <c r="P140" s="217" t="s">
        <v>873</v>
      </c>
      <c r="Q140" s="217" t="str">
        <f t="shared" si="48"/>
        <v>FCCS_ClosingBalance_Input</v>
      </c>
      <c r="R140" s="217" t="str">
        <f t="shared" si="49"/>
        <v>Actual</v>
      </c>
      <c r="S140" s="217" t="str">
        <f t="shared" si="49"/>
        <v>FCCS_YTD_Input</v>
      </c>
      <c r="T140" s="217" t="s">
        <v>850</v>
      </c>
    </row>
    <row r="141" spans="2:20" s="371" customFormat="1" x14ac:dyDescent="0.3">
      <c r="B141" s="214" t="s">
        <v>667</v>
      </c>
      <c r="C141" s="214" t="s">
        <v>869</v>
      </c>
      <c r="D141" s="216" t="str">
        <f>[2]!HsSetValue(E141,"FCC","Scenario#"&amp;R141&amp;";Years#"&amp;J141&amp;";Period#"&amp;I141&amp;";View#"&amp;S141&amp;";Entity#"&amp;H141&amp;";Data Source#"&amp;K141&amp;";Account#"&amp;F141&amp;";Intercompany#"&amp;L141&amp;";Movement#"&amp;Q141&amp;";Consolidation#"&amp;T141&amp;";Custom1#"&amp;M141&amp;";Custom2#"&amp;N141&amp;";Custom3#"&amp;O141&amp;";Custom4#"&amp;P141&amp;"")</f>
        <v>#Invalid Syntax</v>
      </c>
      <c r="E141" s="216">
        <f>SUMIFS('Investment Analysis'!$H$22:$H$69,'Investment Analysis'!$E$22:$E$69,"Bank Deposits Held for Investment Purposes",'Investment Analysis'!$AB$22:$AB$69,"1")</f>
        <v>0</v>
      </c>
      <c r="F141" s="217" t="s">
        <v>674</v>
      </c>
      <c r="G141" s="217" t="str">
        <f t="shared" si="45"/>
        <v xml:space="preserve">Inv. Analysis - Credit Quality Risk - Bank Deposits Held for Investment Purposes     </v>
      </c>
      <c r="H141" s="218" t="e">
        <f t="shared" si="46"/>
        <v>#N/A</v>
      </c>
      <c r="I141" s="218" t="str">
        <f t="shared" si="46"/>
        <v>Jun</v>
      </c>
      <c r="J141" s="217" t="str">
        <f t="shared" si="46"/>
        <v>FY25</v>
      </c>
      <c r="K141" s="217" t="str">
        <f t="shared" si="46"/>
        <v>FCCS_Other Data</v>
      </c>
      <c r="L141" s="217" t="str">
        <f t="shared" si="46"/>
        <v>FCCS_No Intercompany</v>
      </c>
      <c r="M141" s="217" t="str">
        <f t="shared" si="47"/>
        <v>No Custom1</v>
      </c>
      <c r="N141" s="217" t="str">
        <f t="shared" si="46"/>
        <v>No Custom2</v>
      </c>
      <c r="O141" s="217" t="s">
        <v>64</v>
      </c>
      <c r="P141" s="217" t="s">
        <v>873</v>
      </c>
      <c r="Q141" s="217" t="str">
        <f t="shared" si="48"/>
        <v>FCCS_ClosingBalance_Input</v>
      </c>
      <c r="R141" s="217" t="str">
        <f t="shared" si="49"/>
        <v>Actual</v>
      </c>
      <c r="S141" s="217" t="str">
        <f t="shared" si="49"/>
        <v>FCCS_YTD_Input</v>
      </c>
      <c r="T141" s="217" t="s">
        <v>850</v>
      </c>
    </row>
    <row r="142" spans="2:20" x14ac:dyDescent="0.3">
      <c r="B142" s="214" t="s">
        <v>667</v>
      </c>
      <c r="C142" s="214" t="s">
        <v>869</v>
      </c>
      <c r="D142" s="216" t="str">
        <f>[2]!HsSetValue(E142,"FCC","Scenario#"&amp;R142&amp;";Years#"&amp;J142&amp;";Period#"&amp;I142&amp;";View#"&amp;S142&amp;";Entity#"&amp;H142&amp;";Data Source#"&amp;K142&amp;";Account#"&amp;F142&amp;";Intercompany#"&amp;L142&amp;";Movement#"&amp;Q142&amp;";Consolidation#"&amp;T142&amp;";Custom1#"&amp;M142&amp;";Custom2#"&amp;N142&amp;";Custom3#"&amp;O142&amp;";Custom4#"&amp;P142&amp;"")</f>
        <v>#Invalid Syntax</v>
      </c>
      <c r="E142" s="216">
        <f>SUMIFS('Investment Analysis'!$H$22:$H$69,'Investment Analysis'!$E$22:$E$69,"Bank Deposits Held for Investment Purposes",'Investment Analysis'!$AI$22:$AI$69,"16")</f>
        <v>0</v>
      </c>
      <c r="F142" s="217" t="s">
        <v>674</v>
      </c>
      <c r="G142" s="217" t="str">
        <f t="shared" si="45"/>
        <v xml:space="preserve">Inv. Analysis - Credit Quality Risk - Bank Deposits Held for Investment Purposes     </v>
      </c>
      <c r="H142" s="218" t="e">
        <f t="shared" si="46"/>
        <v>#N/A</v>
      </c>
      <c r="I142" s="218" t="str">
        <f t="shared" si="46"/>
        <v>Jun</v>
      </c>
      <c r="J142" s="217" t="str">
        <f t="shared" si="46"/>
        <v>FY25</v>
      </c>
      <c r="K142" s="217" t="str">
        <f t="shared" si="46"/>
        <v>FCCS_Other Data</v>
      </c>
      <c r="L142" s="217" t="str">
        <f t="shared" si="46"/>
        <v>FCCS_No Intercompany</v>
      </c>
      <c r="M142" s="217" t="str">
        <f t="shared" si="47"/>
        <v>No Custom1</v>
      </c>
      <c r="N142" s="217" t="str">
        <f t="shared" si="46"/>
        <v>No Custom2</v>
      </c>
      <c r="O142" s="217" t="s">
        <v>726</v>
      </c>
      <c r="P142" s="217" t="s">
        <v>873</v>
      </c>
      <c r="Q142" s="217" t="str">
        <f t="shared" si="48"/>
        <v>FCCS_ClosingBalance_Input</v>
      </c>
      <c r="R142" s="217" t="str">
        <f t="shared" si="49"/>
        <v>Actual</v>
      </c>
      <c r="S142" s="217" t="str">
        <f t="shared" si="49"/>
        <v>FCCS_YTD_Input</v>
      </c>
      <c r="T142" s="217" t="s">
        <v>850</v>
      </c>
    </row>
    <row r="143" spans="2:20" x14ac:dyDescent="0.3">
      <c r="B143" s="214" t="s">
        <v>667</v>
      </c>
      <c r="C143" s="214" t="s">
        <v>869</v>
      </c>
      <c r="D143" s="216" t="str">
        <f>[2]!HsSetValue(E143,"FCC","Scenario#"&amp;R143&amp;";Years#"&amp;J143&amp;";Period#"&amp;I143&amp;";View#"&amp;S143&amp;";Entity#"&amp;H143&amp;";Data Source#"&amp;K143&amp;";Account#"&amp;F143&amp;";Intercompany#"&amp;L143&amp;";Movement#"&amp;Q143&amp;";Consolidation#"&amp;T143&amp;";Custom1#"&amp;M143&amp;";Custom2#"&amp;N143&amp;";Custom3#"&amp;O143&amp;";Custom4#"&amp;P143&amp;"")</f>
        <v>#Invalid Syntax</v>
      </c>
      <c r="E143" s="216">
        <f>SUMIFS('Investment Analysis'!$H$22:$H$69,'Investment Analysis'!$E$22:$E$69,"Bank Deposits Held for Investment Purposes",'Investment Analysis'!$AI$22:$AI$69,"15")</f>
        <v>0</v>
      </c>
      <c r="F143" s="217" t="s">
        <v>674</v>
      </c>
      <c r="G143" s="217" t="str">
        <f t="shared" si="45"/>
        <v xml:space="preserve">Inv. Analysis - Credit Quality Risk - Bank Deposits Held for Investment Purposes     </v>
      </c>
      <c r="H143" s="218" t="e">
        <f t="shared" si="46"/>
        <v>#N/A</v>
      </c>
      <c r="I143" s="218" t="str">
        <f t="shared" si="46"/>
        <v>Jun</v>
      </c>
      <c r="J143" s="217" t="str">
        <f t="shared" si="46"/>
        <v>FY25</v>
      </c>
      <c r="K143" s="217" t="str">
        <f t="shared" si="46"/>
        <v>FCCS_Other Data</v>
      </c>
      <c r="L143" s="217" t="str">
        <f t="shared" si="46"/>
        <v>FCCS_No Intercompany</v>
      </c>
      <c r="M143" s="217" t="str">
        <f t="shared" si="47"/>
        <v>No Custom1</v>
      </c>
      <c r="N143" s="217" t="str">
        <f t="shared" si="46"/>
        <v>No Custom2</v>
      </c>
      <c r="O143" s="217" t="s">
        <v>727</v>
      </c>
      <c r="P143" s="217" t="s">
        <v>873</v>
      </c>
      <c r="Q143" s="217" t="str">
        <f t="shared" si="48"/>
        <v>FCCS_ClosingBalance_Input</v>
      </c>
      <c r="R143" s="217" t="str">
        <f t="shared" si="49"/>
        <v>Actual</v>
      </c>
      <c r="S143" s="217" t="str">
        <f t="shared" si="49"/>
        <v>FCCS_YTD_Input</v>
      </c>
      <c r="T143" s="217" t="s">
        <v>850</v>
      </c>
    </row>
    <row r="144" spans="2:20" x14ac:dyDescent="0.3">
      <c r="B144" s="214" t="s">
        <v>667</v>
      </c>
      <c r="C144" s="214" t="s">
        <v>869</v>
      </c>
      <c r="D144" s="216" t="str">
        <f>[2]!HsSetValue(E144,"FCC","Scenario#"&amp;R144&amp;";Years#"&amp;J144&amp;";Period#"&amp;I144&amp;";View#"&amp;S144&amp;";Entity#"&amp;H144&amp;";Data Source#"&amp;K144&amp;";Account#"&amp;F144&amp;";Intercompany#"&amp;L144&amp;";Movement#"&amp;Q144&amp;";Consolidation#"&amp;T144&amp;";Custom1#"&amp;M144&amp;";Custom2#"&amp;N144&amp;";Custom3#"&amp;O144&amp;";Custom4#"&amp;P144&amp;"")</f>
        <v>#Invalid Syntax</v>
      </c>
      <c r="E144" s="216">
        <f>SUMIFS('Investment Analysis'!$H$22:$H$69,'Investment Analysis'!$E$22:$E$69,"Bank Deposits Held for Investment Purposes",'Investment Analysis'!$AI$22:$AI$69,"14")</f>
        <v>0</v>
      </c>
      <c r="F144" s="217" t="s">
        <v>674</v>
      </c>
      <c r="G144" s="217" t="str">
        <f t="shared" si="45"/>
        <v xml:space="preserve">Inv. Analysis - Credit Quality Risk - Bank Deposits Held for Investment Purposes     </v>
      </c>
      <c r="H144" s="218" t="e">
        <f t="shared" si="46"/>
        <v>#N/A</v>
      </c>
      <c r="I144" s="218" t="str">
        <f t="shared" si="46"/>
        <v>Jun</v>
      </c>
      <c r="J144" s="217" t="str">
        <f t="shared" si="46"/>
        <v>FY25</v>
      </c>
      <c r="K144" s="217" t="str">
        <f t="shared" si="46"/>
        <v>FCCS_Other Data</v>
      </c>
      <c r="L144" s="217" t="str">
        <f t="shared" si="46"/>
        <v>FCCS_No Intercompany</v>
      </c>
      <c r="M144" s="217" t="str">
        <f t="shared" si="47"/>
        <v>No Custom1</v>
      </c>
      <c r="N144" s="217" t="str">
        <f t="shared" si="46"/>
        <v>No Custom2</v>
      </c>
      <c r="O144" s="217" t="s">
        <v>728</v>
      </c>
      <c r="P144" s="217" t="s">
        <v>873</v>
      </c>
      <c r="Q144" s="217" t="str">
        <f t="shared" si="48"/>
        <v>FCCS_ClosingBalance_Input</v>
      </c>
      <c r="R144" s="217" t="str">
        <f t="shared" si="49"/>
        <v>Actual</v>
      </c>
      <c r="S144" s="217" t="str">
        <f t="shared" si="49"/>
        <v>FCCS_YTD_Input</v>
      </c>
      <c r="T144" s="217" t="s">
        <v>850</v>
      </c>
    </row>
    <row r="145" spans="2:20" x14ac:dyDescent="0.3">
      <c r="B145" s="214" t="s">
        <v>667</v>
      </c>
      <c r="C145" s="214" t="s">
        <v>869</v>
      </c>
      <c r="D145" s="216" t="str">
        <f>[2]!HsSetValue(E145,"FCC","Scenario#"&amp;R145&amp;";Years#"&amp;J145&amp;";Period#"&amp;I145&amp;";View#"&amp;S145&amp;";Entity#"&amp;H145&amp;";Data Source#"&amp;K145&amp;";Account#"&amp;F145&amp;";Intercompany#"&amp;L145&amp;";Movement#"&amp;Q145&amp;";Consolidation#"&amp;T145&amp;";Custom1#"&amp;M145&amp;";Custom2#"&amp;N145&amp;";Custom3#"&amp;O145&amp;";Custom4#"&amp;P145&amp;"")</f>
        <v>#Invalid Syntax</v>
      </c>
      <c r="E145" s="216">
        <f>SUMIFS('Investment Analysis'!$H$22:$H$69,'Investment Analysis'!$E$22:$E$69,"Bank Deposits Held for Investment Purposes",'Investment Analysis'!$AB$22:$AB$69,"0")+SUMIFS('Investment Analysis'!$H$22:$H$69,'Investment Analysis'!$E$22:$E$69,"Bank Deposits Held for Investment Purposes",'Investment Analysis'!$AI$22:$AI$69,"0")</f>
        <v>0</v>
      </c>
      <c r="F145" s="217" t="s">
        <v>674</v>
      </c>
      <c r="G145" s="217" t="str">
        <f t="shared" si="45"/>
        <v xml:space="preserve">Inv. Analysis - Credit Quality Risk - Bank Deposits Held for Investment Purposes     </v>
      </c>
      <c r="H145" s="218" t="e">
        <f t="shared" si="46"/>
        <v>#N/A</v>
      </c>
      <c r="I145" s="218" t="str">
        <f t="shared" si="46"/>
        <v>Jun</v>
      </c>
      <c r="J145" s="217" t="str">
        <f t="shared" si="46"/>
        <v>FY25</v>
      </c>
      <c r="K145" s="217" t="str">
        <f t="shared" si="46"/>
        <v>FCCS_Other Data</v>
      </c>
      <c r="L145" s="217" t="str">
        <f t="shared" si="46"/>
        <v>FCCS_No Intercompany</v>
      </c>
      <c r="M145" s="217" t="str">
        <f t="shared" si="47"/>
        <v>No Custom1</v>
      </c>
      <c r="N145" s="217" t="str">
        <f t="shared" si="46"/>
        <v>No Custom2</v>
      </c>
      <c r="O145" s="217" t="s">
        <v>609</v>
      </c>
      <c r="P145" s="217" t="s">
        <v>873</v>
      </c>
      <c r="Q145" s="217" t="str">
        <f t="shared" si="48"/>
        <v>FCCS_ClosingBalance_Input</v>
      </c>
      <c r="R145" s="217" t="str">
        <f t="shared" si="49"/>
        <v>Actual</v>
      </c>
      <c r="S145" s="217" t="str">
        <f t="shared" si="49"/>
        <v>FCCS_YTD_Input</v>
      </c>
      <c r="T145" s="217" t="s">
        <v>850</v>
      </c>
    </row>
    <row r="146" spans="2:20" x14ac:dyDescent="0.3">
      <c r="B146" s="210"/>
      <c r="C146" s="211"/>
      <c r="D146" s="212"/>
      <c r="E146" s="212"/>
    </row>
    <row r="147" spans="2:20" x14ac:dyDescent="0.3">
      <c r="B147" s="219" t="s">
        <v>1014</v>
      </c>
      <c r="C147" s="219" t="s">
        <v>883</v>
      </c>
      <c r="D147" s="221" t="str">
        <f>[2]!HsSetValue(E147,"FCC","Scenario#"&amp;R147&amp;";Years#"&amp;J147&amp;";Period#"&amp;I147&amp;";View#"&amp;S147&amp;";Entity#"&amp;H147&amp;";Data Source#"&amp;K147&amp;";Account#"&amp;F147&amp;";Intercompany#"&amp;L147&amp;";Movement#"&amp;Q147&amp;";Consolidation#"&amp;T147&amp;";Custom1#"&amp;M147&amp;";Custom2#"&amp;N147&amp;";Custom3#"&amp;O147&amp;";Custom4#"&amp;P147&amp;"")</f>
        <v>#Invalid Syntax</v>
      </c>
      <c r="E147" s="221">
        <f>SUMIFS('Investment Analysis'!$H$22:$H$69,'Investment Analysis'!$E$22:$E$69,"Bond Securities",'Investment Analysis'!$AK$22:$AK$69,"21")</f>
        <v>0</v>
      </c>
      <c r="F147" s="222" t="s">
        <v>675</v>
      </c>
      <c r="G147" s="222" t="str">
        <f>"Inv. Analysis -  FV Measurement - "&amp;C147</f>
        <v>Inv. Analysis -  FV Measurement - Bank Deposits Held for Investment Purposes</v>
      </c>
      <c r="H147" s="223" t="e">
        <f>+H$2</f>
        <v>#N/A</v>
      </c>
      <c r="I147" s="223" t="str">
        <f t="shared" ref="I147:I151" si="50">+I$2</f>
        <v>Jun</v>
      </c>
      <c r="J147" s="222" t="str">
        <f>+J$2</f>
        <v>FY25</v>
      </c>
      <c r="K147" s="222" t="s">
        <v>843</v>
      </c>
      <c r="L147" s="222" t="s">
        <v>844</v>
      </c>
      <c r="M147" s="222" t="s">
        <v>845</v>
      </c>
      <c r="N147" s="222" t="s">
        <v>846</v>
      </c>
      <c r="O147" s="222" t="s">
        <v>729</v>
      </c>
      <c r="P147" s="222" t="s">
        <v>873</v>
      </c>
      <c r="Q147" s="222" t="str">
        <f t="shared" ref="Q147:Q151" si="51">Q$2</f>
        <v>FCCS_ClosingBalance_Input</v>
      </c>
      <c r="R147" s="222" t="s">
        <v>169</v>
      </c>
      <c r="S147" s="222" t="s">
        <v>848</v>
      </c>
      <c r="T147" s="222" t="s">
        <v>850</v>
      </c>
    </row>
    <row r="148" spans="2:20" x14ac:dyDescent="0.3">
      <c r="B148" s="219" t="s">
        <v>1014</v>
      </c>
      <c r="C148" s="219" t="s">
        <v>883</v>
      </c>
      <c r="D148" s="221" t="str">
        <f>[2]!HsSetValue(E148,"FCC","Scenario#"&amp;R148&amp;";Years#"&amp;J148&amp;";Period#"&amp;I148&amp;";View#"&amp;S148&amp;";Entity#"&amp;H148&amp;";Data Source#"&amp;K148&amp;";Account#"&amp;F148&amp;";Intercompany#"&amp;L148&amp;";Movement#"&amp;Q148&amp;";Consolidation#"&amp;T148&amp;";Custom1#"&amp;M148&amp;";Custom2#"&amp;N148&amp;";Custom3#"&amp;O148&amp;";Custom4#"&amp;P148&amp;"")</f>
        <v>#Invalid Syntax</v>
      </c>
      <c r="E148" s="221">
        <f>SUMIFS('Investment Analysis'!$H$22:$H$69,'Investment Analysis'!$E$22:$E$69,"Bond Securities",'Investment Analysis'!$AK$22:$AK$69,"22")</f>
        <v>0</v>
      </c>
      <c r="F148" s="222" t="s">
        <v>675</v>
      </c>
      <c r="G148" s="222" t="str">
        <f>"Inv. Analysis -  FV Measurement - "&amp;C148</f>
        <v>Inv. Analysis -  FV Measurement - Bank Deposits Held for Investment Purposes</v>
      </c>
      <c r="H148" s="223" t="e">
        <f>+H$2</f>
        <v>#N/A</v>
      </c>
      <c r="I148" s="223" t="str">
        <f t="shared" si="50"/>
        <v>Jun</v>
      </c>
      <c r="J148" s="222" t="str">
        <f>+J$2</f>
        <v>FY25</v>
      </c>
      <c r="K148" s="222" t="str">
        <f t="shared" ref="K148:N151" si="52">+K$2</f>
        <v>FCCS_Other Data</v>
      </c>
      <c r="L148" s="222" t="str">
        <f t="shared" si="52"/>
        <v>FCCS_No Intercompany</v>
      </c>
      <c r="M148" s="222" t="str">
        <f>+M$1</f>
        <v>No Custom1</v>
      </c>
      <c r="N148" s="222" t="str">
        <f t="shared" si="52"/>
        <v>No Custom2</v>
      </c>
      <c r="O148" s="222" t="s">
        <v>730</v>
      </c>
      <c r="P148" s="222" t="s">
        <v>873</v>
      </c>
      <c r="Q148" s="222" t="str">
        <f t="shared" si="51"/>
        <v>FCCS_ClosingBalance_Input</v>
      </c>
      <c r="R148" s="222" t="str">
        <f t="shared" ref="R148:S151" si="53">+R$2</f>
        <v>Actual</v>
      </c>
      <c r="S148" s="222" t="str">
        <f t="shared" si="53"/>
        <v>FCCS_YTD_Input</v>
      </c>
      <c r="T148" s="222" t="s">
        <v>850</v>
      </c>
    </row>
    <row r="149" spans="2:20" x14ac:dyDescent="0.3">
      <c r="B149" s="219" t="s">
        <v>1014</v>
      </c>
      <c r="C149" s="219" t="s">
        <v>883</v>
      </c>
      <c r="D149" s="221" t="str">
        <f>[2]!HsSetValue(E149,"FCC","Scenario#"&amp;R149&amp;";Years#"&amp;J149&amp;";Period#"&amp;I149&amp;";View#"&amp;S149&amp;";Entity#"&amp;H149&amp;";Data Source#"&amp;K149&amp;";Account#"&amp;F149&amp;";Intercompany#"&amp;L149&amp;";Movement#"&amp;Q149&amp;";Consolidation#"&amp;T149&amp;";Custom1#"&amp;M149&amp;";Custom2#"&amp;N149&amp;";Custom3#"&amp;O149&amp;";Custom4#"&amp;P149&amp;"")</f>
        <v>#Invalid Syntax</v>
      </c>
      <c r="E149" s="221">
        <f>SUMIFS('Investment Analysis'!$H$22:$H$69,'Investment Analysis'!$E$22:$E$69,"Bond Securities",'Investment Analysis'!$AK$22:$AK$69,"23")</f>
        <v>0</v>
      </c>
      <c r="F149" s="222" t="s">
        <v>675</v>
      </c>
      <c r="G149" s="222" t="str">
        <f>"Inv. Analysis -  FV Measurement - "&amp;C149</f>
        <v>Inv. Analysis -  FV Measurement - Bank Deposits Held for Investment Purposes</v>
      </c>
      <c r="H149" s="223" t="e">
        <f>+H$2</f>
        <v>#N/A</v>
      </c>
      <c r="I149" s="223" t="str">
        <f t="shared" si="50"/>
        <v>Jun</v>
      </c>
      <c r="J149" s="222" t="str">
        <f>+J$2</f>
        <v>FY25</v>
      </c>
      <c r="K149" s="222" t="str">
        <f t="shared" si="52"/>
        <v>FCCS_Other Data</v>
      </c>
      <c r="L149" s="222" t="str">
        <f t="shared" si="52"/>
        <v>FCCS_No Intercompany</v>
      </c>
      <c r="M149" s="222" t="str">
        <f>+M$1</f>
        <v>No Custom1</v>
      </c>
      <c r="N149" s="222" t="str">
        <f t="shared" si="52"/>
        <v>No Custom2</v>
      </c>
      <c r="O149" s="222" t="s">
        <v>731</v>
      </c>
      <c r="P149" s="222" t="s">
        <v>873</v>
      </c>
      <c r="Q149" s="222" t="str">
        <f t="shared" si="51"/>
        <v>FCCS_ClosingBalance_Input</v>
      </c>
      <c r="R149" s="222" t="str">
        <f t="shared" si="53"/>
        <v>Actual</v>
      </c>
      <c r="S149" s="222" t="str">
        <f t="shared" si="53"/>
        <v>FCCS_YTD_Input</v>
      </c>
      <c r="T149" s="222" t="s">
        <v>850</v>
      </c>
    </row>
    <row r="150" spans="2:20" x14ac:dyDescent="0.3">
      <c r="B150" s="219" t="s">
        <v>1014</v>
      </c>
      <c r="C150" s="219" t="s">
        <v>883</v>
      </c>
      <c r="D150" s="221" t="str">
        <f>[2]!HsSetValue(E150,"FCC","Scenario#"&amp;R150&amp;";Years#"&amp;J150&amp;";Period#"&amp;I150&amp;";View#"&amp;S150&amp;";Entity#"&amp;H150&amp;";Data Source#"&amp;K150&amp;";Account#"&amp;F150&amp;";Intercompany#"&amp;L150&amp;";Movement#"&amp;Q150&amp;";Consolidation#"&amp;T150&amp;";Custom1#"&amp;M150&amp;";Custom2#"&amp;N150&amp;";Custom3#"&amp;O150&amp;";Custom4#"&amp;P150&amp;"")</f>
        <v>#Invalid Syntax</v>
      </c>
      <c r="E150" s="221">
        <f>SUMIFS('Investment Analysis'!$H$22:$H$69,'Investment Analysis'!$E$22:$E$69,"Bond Securities",'Investment Analysis'!$AK$22:$AK$69,"24")</f>
        <v>0</v>
      </c>
      <c r="F150" s="222" t="s">
        <v>675</v>
      </c>
      <c r="G150" s="222" t="str">
        <f>"Inv. Analysis -  FV Measurement - "&amp;C150</f>
        <v>Inv. Analysis -  FV Measurement - Bank Deposits Held for Investment Purposes</v>
      </c>
      <c r="H150" s="223" t="e">
        <f>+H$2</f>
        <v>#N/A</v>
      </c>
      <c r="I150" s="223" t="str">
        <f t="shared" si="50"/>
        <v>Jun</v>
      </c>
      <c r="J150" s="222" t="str">
        <f>+J$2</f>
        <v>FY25</v>
      </c>
      <c r="K150" s="222" t="str">
        <f t="shared" si="52"/>
        <v>FCCS_Other Data</v>
      </c>
      <c r="L150" s="222" t="str">
        <f t="shared" si="52"/>
        <v>FCCS_No Intercompany</v>
      </c>
      <c r="M150" s="222" t="str">
        <f>+M$1</f>
        <v>No Custom1</v>
      </c>
      <c r="N150" s="222" t="str">
        <f t="shared" si="52"/>
        <v>No Custom2</v>
      </c>
      <c r="O150" s="222" t="s">
        <v>732</v>
      </c>
      <c r="P150" s="222" t="s">
        <v>873</v>
      </c>
      <c r="Q150" s="222" t="str">
        <f t="shared" si="51"/>
        <v>FCCS_ClosingBalance_Input</v>
      </c>
      <c r="R150" s="222" t="str">
        <f t="shared" si="53"/>
        <v>Actual</v>
      </c>
      <c r="S150" s="222" t="str">
        <f t="shared" si="53"/>
        <v>FCCS_YTD_Input</v>
      </c>
      <c r="T150" s="222" t="s">
        <v>850</v>
      </c>
    </row>
    <row r="151" spans="2:20" x14ac:dyDescent="0.3">
      <c r="B151" s="219" t="s">
        <v>1014</v>
      </c>
      <c r="C151" s="219" t="s">
        <v>883</v>
      </c>
      <c r="D151" s="221" t="str">
        <f>[2]!HsSetValue(E151,"FCC","Scenario#"&amp;R151&amp;";Years#"&amp;J151&amp;";Period#"&amp;I151&amp;";View#"&amp;S151&amp;";Entity#"&amp;H151&amp;";Data Source#"&amp;K151&amp;";Account#"&amp;F151&amp;";Intercompany#"&amp;L151&amp;";Movement#"&amp;Q151&amp;";Consolidation#"&amp;T151&amp;";Custom1#"&amp;M151&amp;";Custom2#"&amp;N151&amp;";Custom3#"&amp;O151&amp;";Custom4#"&amp;P151&amp;"")</f>
        <v>#Invalid Syntax</v>
      </c>
      <c r="E151" s="221">
        <f>SUMIFS('Investment Analysis'!$H$22:$H$69,'Investment Analysis'!$E$22:$E$69,"Bond Securities",'Investment Analysis'!$AK$22:$AK$69,"25")</f>
        <v>0</v>
      </c>
      <c r="F151" s="222" t="s">
        <v>675</v>
      </c>
      <c r="G151" s="222" t="str">
        <f>"Inv. Analysis -  FV Measurement - "&amp;C151</f>
        <v>Inv. Analysis -  FV Measurement - Bank Deposits Held for Investment Purposes</v>
      </c>
      <c r="H151" s="223" t="e">
        <f>+H$2</f>
        <v>#N/A</v>
      </c>
      <c r="I151" s="223" t="str">
        <f t="shared" si="50"/>
        <v>Jun</v>
      </c>
      <c r="J151" s="222" t="str">
        <f>+J$2</f>
        <v>FY25</v>
      </c>
      <c r="K151" s="222" t="str">
        <f t="shared" si="52"/>
        <v>FCCS_Other Data</v>
      </c>
      <c r="L151" s="222" t="str">
        <f t="shared" si="52"/>
        <v>FCCS_No Intercompany</v>
      </c>
      <c r="M151" s="222" t="str">
        <f>+M$1</f>
        <v>No Custom1</v>
      </c>
      <c r="N151" s="222" t="str">
        <f t="shared" si="52"/>
        <v>No Custom2</v>
      </c>
      <c r="O151" s="222" t="s">
        <v>733</v>
      </c>
      <c r="P151" s="222" t="s">
        <v>873</v>
      </c>
      <c r="Q151" s="222" t="str">
        <f t="shared" si="51"/>
        <v>FCCS_ClosingBalance_Input</v>
      </c>
      <c r="R151" s="222" t="str">
        <f t="shared" si="53"/>
        <v>Actual</v>
      </c>
      <c r="S151" s="222" t="str">
        <f t="shared" si="53"/>
        <v>FCCS_YTD_Input</v>
      </c>
      <c r="T151" s="222" t="s">
        <v>850</v>
      </c>
    </row>
    <row r="152" spans="2:20" ht="16.350000000000001" customHeight="1" x14ac:dyDescent="0.3">
      <c r="B152" s="210"/>
    </row>
    <row r="153" spans="2:20" x14ac:dyDescent="0.3">
      <c r="B153" s="364" t="s">
        <v>668</v>
      </c>
      <c r="C153" s="365" t="s">
        <v>464</v>
      </c>
      <c r="D153" s="366" t="str">
        <f>[2]!HsSetValue(E153,"FCC","Scenario#"&amp;R153&amp;";Years#"&amp;J153&amp;";Period#"&amp;I153&amp;";View#"&amp;S153&amp;";Entity#"&amp;H153&amp;";Data Source#"&amp;K153&amp;";Account#"&amp;F153&amp;";Intercompany#"&amp;L153&amp;";Movement#"&amp;Q153&amp;";Consolidation#"&amp;T153&amp;";Custom1#"&amp;M153&amp;";Custom2#"&amp;N153&amp;";Custom3#"&amp;O153&amp;";Custom4#"&amp;P153&amp;"")</f>
        <v>#Invalid Syntax</v>
      </c>
      <c r="E153" s="366">
        <f>SUMIF('Investment Analysis'!$E$22:$E$69,'FCC Investments - Load Tab'!C153,'Investment Analysis'!$K$22:$K$69)</f>
        <v>0</v>
      </c>
      <c r="F153" s="367" t="s">
        <v>673</v>
      </c>
      <c r="G153" s="367" t="s">
        <v>687</v>
      </c>
      <c r="H153" s="368" t="e">
        <f>+H$2</f>
        <v>#N/A</v>
      </c>
      <c r="I153" s="368" t="str">
        <f t="shared" ref="I153:N157" si="54">+I$2</f>
        <v>Jun</v>
      </c>
      <c r="J153" s="367" t="str">
        <f t="shared" si="54"/>
        <v>FY25</v>
      </c>
      <c r="K153" s="367" t="str">
        <f t="shared" si="54"/>
        <v>FCCS_Other Data</v>
      </c>
      <c r="L153" s="367" t="str">
        <f t="shared" si="54"/>
        <v>FCCS_No Intercompany</v>
      </c>
      <c r="M153" s="367" t="str">
        <f>+M$1</f>
        <v>No Custom1</v>
      </c>
      <c r="N153" s="367" t="str">
        <f t="shared" si="54"/>
        <v>No Custom2</v>
      </c>
      <c r="O153" s="367" t="s">
        <v>721</v>
      </c>
      <c r="P153" s="367" t="s">
        <v>565</v>
      </c>
      <c r="Q153" s="367" t="str">
        <f t="shared" ref="Q153:Q157" si="55">Q$2</f>
        <v>FCCS_ClosingBalance_Input</v>
      </c>
      <c r="R153" s="367" t="s">
        <v>169</v>
      </c>
      <c r="S153" s="367" t="s">
        <v>848</v>
      </c>
      <c r="T153" s="367" t="s">
        <v>850</v>
      </c>
    </row>
    <row r="154" spans="2:20" x14ac:dyDescent="0.3">
      <c r="B154" s="364" t="s">
        <v>668</v>
      </c>
      <c r="C154" s="365" t="s">
        <v>464</v>
      </c>
      <c r="D154" s="366" t="str">
        <f>[2]!HsSetValue(E154,"FCC","Scenario#"&amp;R154&amp;";Years#"&amp;J154&amp;";Period#"&amp;I154&amp;";View#"&amp;S154&amp;";Entity#"&amp;H154&amp;";Data Source#"&amp;K154&amp;";Account#"&amp;F154&amp;";Intercompany#"&amp;L154&amp;";Movement#"&amp;Q154&amp;";Consolidation#"&amp;T154&amp;";Custom1#"&amp;M154&amp;";Custom2#"&amp;N154&amp;";Custom3#"&amp;O154&amp;";Custom4#"&amp;P154&amp;"")</f>
        <v>#Invalid Syntax</v>
      </c>
      <c r="E154" s="366">
        <f>SUMIF('Investment Analysis'!$E$22:$E$69,'FCC Investments - Load Tab'!C153,'Investment Analysis'!$L$22:$L$69)</f>
        <v>0</v>
      </c>
      <c r="F154" s="367" t="s">
        <v>673</v>
      </c>
      <c r="G154" s="367" t="s">
        <v>687</v>
      </c>
      <c r="H154" s="368" t="e">
        <f>+H$2</f>
        <v>#N/A</v>
      </c>
      <c r="I154" s="368" t="str">
        <f t="shared" si="54"/>
        <v>Jun</v>
      </c>
      <c r="J154" s="367" t="str">
        <f t="shared" si="54"/>
        <v>FY25</v>
      </c>
      <c r="K154" s="367" t="str">
        <f t="shared" si="54"/>
        <v>FCCS_Other Data</v>
      </c>
      <c r="L154" s="367" t="str">
        <f t="shared" si="54"/>
        <v>FCCS_No Intercompany</v>
      </c>
      <c r="M154" s="367" t="str">
        <f>+M$1</f>
        <v>No Custom1</v>
      </c>
      <c r="N154" s="367" t="str">
        <f t="shared" si="54"/>
        <v>No Custom2</v>
      </c>
      <c r="O154" s="367" t="s">
        <v>722</v>
      </c>
      <c r="P154" s="367" t="s">
        <v>565</v>
      </c>
      <c r="Q154" s="367" t="str">
        <f t="shared" si="55"/>
        <v>FCCS_ClosingBalance_Input</v>
      </c>
      <c r="R154" s="367" t="str">
        <f t="shared" ref="R154:S157" si="56">+R$2</f>
        <v>Actual</v>
      </c>
      <c r="S154" s="367" t="str">
        <f t="shared" si="56"/>
        <v>FCCS_YTD_Input</v>
      </c>
      <c r="T154" s="367" t="s">
        <v>850</v>
      </c>
    </row>
    <row r="155" spans="2:20" x14ac:dyDescent="0.3">
      <c r="B155" s="364" t="s">
        <v>668</v>
      </c>
      <c r="C155" s="365" t="s">
        <v>464</v>
      </c>
      <c r="D155" s="366" t="str">
        <f>[2]!HsSetValue(E155,"FCC","Scenario#"&amp;R155&amp;";Years#"&amp;J155&amp;";Period#"&amp;I155&amp;";View#"&amp;S155&amp;";Entity#"&amp;H155&amp;";Data Source#"&amp;K155&amp;";Account#"&amp;F155&amp;";Intercompany#"&amp;L155&amp;";Movement#"&amp;Q155&amp;";Consolidation#"&amp;T155&amp;";Custom1#"&amp;M155&amp;";Custom2#"&amp;N155&amp;";Custom3#"&amp;O155&amp;";Custom4#"&amp;P155&amp;"")</f>
        <v>#Invalid Syntax</v>
      </c>
      <c r="E155" s="366">
        <f>SUMIF('Investment Analysis'!$E$22:$E$69,'FCC Investments - Load Tab'!C153,'Investment Analysis'!$M$22:$M$69)</f>
        <v>0</v>
      </c>
      <c r="F155" s="367" t="s">
        <v>673</v>
      </c>
      <c r="G155" s="367" t="s">
        <v>687</v>
      </c>
      <c r="H155" s="368" t="e">
        <f>+H$2</f>
        <v>#N/A</v>
      </c>
      <c r="I155" s="368" t="str">
        <f t="shared" si="54"/>
        <v>Jun</v>
      </c>
      <c r="J155" s="367" t="str">
        <f t="shared" si="54"/>
        <v>FY25</v>
      </c>
      <c r="K155" s="367" t="str">
        <f t="shared" si="54"/>
        <v>FCCS_Other Data</v>
      </c>
      <c r="L155" s="367" t="str">
        <f t="shared" si="54"/>
        <v>FCCS_No Intercompany</v>
      </c>
      <c r="M155" s="367" t="str">
        <f>+M$1</f>
        <v>No Custom1</v>
      </c>
      <c r="N155" s="367" t="str">
        <f t="shared" si="54"/>
        <v>No Custom2</v>
      </c>
      <c r="O155" s="367" t="s">
        <v>723</v>
      </c>
      <c r="P155" s="367" t="s">
        <v>565</v>
      </c>
      <c r="Q155" s="367" t="str">
        <f t="shared" si="55"/>
        <v>FCCS_ClosingBalance_Input</v>
      </c>
      <c r="R155" s="367" t="str">
        <f t="shared" si="56"/>
        <v>Actual</v>
      </c>
      <c r="S155" s="367" t="str">
        <f t="shared" si="56"/>
        <v>FCCS_YTD_Input</v>
      </c>
      <c r="T155" s="367" t="s">
        <v>850</v>
      </c>
    </row>
    <row r="156" spans="2:20" x14ac:dyDescent="0.3">
      <c r="B156" s="364" t="s">
        <v>668</v>
      </c>
      <c r="C156" s="365" t="s">
        <v>464</v>
      </c>
      <c r="D156" s="366" t="str">
        <f>[2]!HsSetValue(E156,"FCC","Scenario#"&amp;R156&amp;";Years#"&amp;J156&amp;";Period#"&amp;I156&amp;";View#"&amp;S156&amp;";Entity#"&amp;H156&amp;";Data Source#"&amp;K156&amp;";Account#"&amp;F156&amp;";Intercompany#"&amp;L156&amp;";Movement#"&amp;Q156&amp;";Consolidation#"&amp;T156&amp;";Custom1#"&amp;M156&amp;";Custom2#"&amp;N156&amp;";Custom3#"&amp;O156&amp;";Custom4#"&amp;P156&amp;"")</f>
        <v>#Invalid Syntax</v>
      </c>
      <c r="E156" s="366">
        <f>SUMIF('Investment Analysis'!$E$22:$E$69,'FCC Investments - Load Tab'!C156,'Investment Analysis'!$N$22:$N$69)</f>
        <v>0</v>
      </c>
      <c r="F156" s="367" t="s">
        <v>673</v>
      </c>
      <c r="G156" s="367" t="s">
        <v>687</v>
      </c>
      <c r="H156" s="368" t="e">
        <f>+H$2</f>
        <v>#N/A</v>
      </c>
      <c r="I156" s="368" t="str">
        <f t="shared" si="54"/>
        <v>Jun</v>
      </c>
      <c r="J156" s="367" t="str">
        <f t="shared" si="54"/>
        <v>FY25</v>
      </c>
      <c r="K156" s="367" t="str">
        <f t="shared" si="54"/>
        <v>FCCS_Other Data</v>
      </c>
      <c r="L156" s="367" t="str">
        <f t="shared" si="54"/>
        <v>FCCS_No Intercompany</v>
      </c>
      <c r="M156" s="367" t="str">
        <f>+M$1</f>
        <v>No Custom1</v>
      </c>
      <c r="N156" s="367" t="str">
        <f t="shared" si="54"/>
        <v>No Custom2</v>
      </c>
      <c r="O156" s="367" t="s">
        <v>724</v>
      </c>
      <c r="P156" s="367" t="s">
        <v>565</v>
      </c>
      <c r="Q156" s="367" t="str">
        <f t="shared" si="55"/>
        <v>FCCS_ClosingBalance_Input</v>
      </c>
      <c r="R156" s="367" t="str">
        <f t="shared" si="56"/>
        <v>Actual</v>
      </c>
      <c r="S156" s="367" t="str">
        <f t="shared" si="56"/>
        <v>FCCS_YTD_Input</v>
      </c>
      <c r="T156" s="367" t="s">
        <v>850</v>
      </c>
    </row>
    <row r="157" spans="2:20" x14ac:dyDescent="0.3">
      <c r="B157" s="364" t="s">
        <v>668</v>
      </c>
      <c r="C157" s="365" t="s">
        <v>464</v>
      </c>
      <c r="D157" s="366" t="str">
        <f>[2]!HsSetValue(E157,"FCC","Scenario#"&amp;R157&amp;";Years#"&amp;J157&amp;";Period#"&amp;I157&amp;";View#"&amp;S157&amp;";Entity#"&amp;H157&amp;";Data Source#"&amp;K157&amp;";Account#"&amp;F157&amp;";Intercompany#"&amp;L157&amp;";Movement#"&amp;Q157&amp;";Consolidation#"&amp;T157&amp;";Custom1#"&amp;M157&amp;";Custom2#"&amp;N157&amp;";Custom3#"&amp;O157&amp;";Custom4#"&amp;P157&amp;"")</f>
        <v>#Invalid Syntax</v>
      </c>
      <c r="E157" s="366">
        <f>SUMIF('Investment Analysis'!$E$2:$E$69,'FCC Investments - Load Tab'!C157,'Investment Analysis'!$O$2:$O$69)</f>
        <v>0</v>
      </c>
      <c r="F157" s="367" t="s">
        <v>673</v>
      </c>
      <c r="G157" s="367" t="s">
        <v>687</v>
      </c>
      <c r="H157" s="368" t="e">
        <f>+H$2</f>
        <v>#N/A</v>
      </c>
      <c r="I157" s="368" t="str">
        <f t="shared" si="54"/>
        <v>Jun</v>
      </c>
      <c r="J157" s="367" t="str">
        <f t="shared" si="54"/>
        <v>FY25</v>
      </c>
      <c r="K157" s="367" t="str">
        <f t="shared" si="54"/>
        <v>FCCS_Other Data</v>
      </c>
      <c r="L157" s="367" t="str">
        <f t="shared" si="54"/>
        <v>FCCS_No Intercompany</v>
      </c>
      <c r="M157" s="367" t="str">
        <f>+M$1</f>
        <v>No Custom1</v>
      </c>
      <c r="N157" s="367" t="str">
        <f t="shared" si="54"/>
        <v>No Custom2</v>
      </c>
      <c r="O157" s="367" t="s">
        <v>725</v>
      </c>
      <c r="P157" s="367" t="s">
        <v>565</v>
      </c>
      <c r="Q157" s="367" t="str">
        <f t="shared" si="55"/>
        <v>FCCS_ClosingBalance_Input</v>
      </c>
      <c r="R157" s="367" t="str">
        <f t="shared" si="56"/>
        <v>Actual</v>
      </c>
      <c r="S157" s="367" t="str">
        <f t="shared" si="56"/>
        <v>FCCS_YTD_Input</v>
      </c>
      <c r="T157" s="367" t="s">
        <v>850</v>
      </c>
    </row>
    <row r="158" spans="2:20" x14ac:dyDescent="0.3">
      <c r="B158" s="210"/>
      <c r="C158" s="211"/>
      <c r="D158" s="212"/>
      <c r="E158" s="212"/>
    </row>
    <row r="159" spans="2:20" x14ac:dyDescent="0.3">
      <c r="B159" s="214" t="s">
        <v>667</v>
      </c>
      <c r="C159" s="215" t="s">
        <v>464</v>
      </c>
      <c r="D159" s="216" t="str">
        <f>[2]!HsSetValue(E159,"FCC","Scenario#"&amp;R159&amp;";Years#"&amp;J159&amp;";Period#"&amp;I159&amp;";View#"&amp;S159&amp;";Entity#"&amp;H159&amp;";Data Source#"&amp;K159&amp;";Account#"&amp;F159&amp;";Intercompany#"&amp;L159&amp;";Movement#"&amp;Q159&amp;";Consolidation#"&amp;T159&amp;";Custom1#"&amp;M159&amp;";Custom2#"&amp;N159&amp;";Custom3#"&amp;O159&amp;";Custom4#"&amp;P159&amp;"")</f>
        <v>#Invalid Syntax</v>
      </c>
      <c r="E159" s="216">
        <f>SUMIFS('Investment Analysis'!$H$22:$H$69,'Investment Analysis'!$E$22:$E$69,"Certificates of Deposits",'Investment Analysis'!$AB$22:$AB$69,"10")</f>
        <v>0</v>
      </c>
      <c r="F159" s="217" t="s">
        <v>674</v>
      </c>
      <c r="G159" s="217" t="s">
        <v>1048</v>
      </c>
      <c r="H159" s="218" t="e">
        <f t="shared" ref="H159:N172" si="57">+H$2</f>
        <v>#N/A</v>
      </c>
      <c r="I159" s="218" t="str">
        <f t="shared" si="57"/>
        <v>Jun</v>
      </c>
      <c r="J159" s="217" t="str">
        <f t="shared" si="57"/>
        <v>FY25</v>
      </c>
      <c r="K159" s="217" t="str">
        <f t="shared" si="57"/>
        <v>FCCS_Other Data</v>
      </c>
      <c r="L159" s="217" t="str">
        <f t="shared" si="57"/>
        <v>FCCS_No Intercompany</v>
      </c>
      <c r="M159" s="217" t="str">
        <f t="shared" ref="M159:M172" si="58">+M$1</f>
        <v>No Custom1</v>
      </c>
      <c r="N159" s="217" t="str">
        <f t="shared" si="57"/>
        <v>No Custom2</v>
      </c>
      <c r="O159" s="217" t="s">
        <v>433</v>
      </c>
      <c r="P159" s="217" t="s">
        <v>565</v>
      </c>
      <c r="Q159" s="217" t="str">
        <f t="shared" ref="Q159:Q172" si="59">Q$2</f>
        <v>FCCS_ClosingBalance_Input</v>
      </c>
      <c r="R159" s="217" t="str">
        <f t="shared" ref="R159:S172" si="60">+R$2</f>
        <v>Actual</v>
      </c>
      <c r="S159" s="217" t="str">
        <f t="shared" si="60"/>
        <v>FCCS_YTD_Input</v>
      </c>
      <c r="T159" s="217" t="s">
        <v>850</v>
      </c>
    </row>
    <row r="160" spans="2:20" x14ac:dyDescent="0.3">
      <c r="B160" s="214" t="s">
        <v>667</v>
      </c>
      <c r="C160" s="215" t="s">
        <v>464</v>
      </c>
      <c r="D160" s="216" t="str">
        <f>[2]!HsSetValue(E160,"FCC","Scenario#"&amp;R160&amp;";Years#"&amp;J160&amp;";Period#"&amp;I160&amp;";View#"&amp;S160&amp;";Entity#"&amp;H160&amp;";Data Source#"&amp;K160&amp;";Account#"&amp;F160&amp;";Intercompany#"&amp;L160&amp;";Movement#"&amp;Q160&amp;";Consolidation#"&amp;T160&amp;";Custom1#"&amp;M160&amp;";Custom2#"&amp;N160&amp;";Custom3#"&amp;O160&amp;";Custom4#"&amp;P160&amp;"")</f>
        <v>#Invalid Syntax</v>
      </c>
      <c r="E160" s="216">
        <f>SUMIFS('Investment Analysis'!$H$22:$H$69,'Investment Analysis'!$E$22:$E$69,"Certificates of Deposits",'Investment Analysis'!$AB$22:$AB$69,"9")</f>
        <v>0</v>
      </c>
      <c r="F160" s="217" t="s">
        <v>674</v>
      </c>
      <c r="G160" s="217" t="s">
        <v>1048</v>
      </c>
      <c r="H160" s="218" t="e">
        <f t="shared" si="57"/>
        <v>#N/A</v>
      </c>
      <c r="I160" s="218" t="str">
        <f t="shared" si="57"/>
        <v>Jun</v>
      </c>
      <c r="J160" s="217" t="str">
        <f t="shared" si="57"/>
        <v>FY25</v>
      </c>
      <c r="K160" s="217" t="str">
        <f t="shared" si="57"/>
        <v>FCCS_Other Data</v>
      </c>
      <c r="L160" s="217" t="str">
        <f t="shared" si="57"/>
        <v>FCCS_No Intercompany</v>
      </c>
      <c r="M160" s="217" t="str">
        <f t="shared" si="58"/>
        <v>No Custom1</v>
      </c>
      <c r="N160" s="217" t="str">
        <f t="shared" si="57"/>
        <v>No Custom2</v>
      </c>
      <c r="O160" s="217" t="s">
        <v>596</v>
      </c>
      <c r="P160" s="217" t="s">
        <v>565</v>
      </c>
      <c r="Q160" s="217" t="str">
        <f t="shared" si="59"/>
        <v>FCCS_ClosingBalance_Input</v>
      </c>
      <c r="R160" s="217" t="str">
        <f t="shared" si="60"/>
        <v>Actual</v>
      </c>
      <c r="S160" s="217" t="str">
        <f t="shared" si="60"/>
        <v>FCCS_YTD_Input</v>
      </c>
      <c r="T160" s="217" t="s">
        <v>850</v>
      </c>
    </row>
    <row r="161" spans="2:20" x14ac:dyDescent="0.3">
      <c r="B161" s="214" t="s">
        <v>667</v>
      </c>
      <c r="C161" s="215" t="s">
        <v>464</v>
      </c>
      <c r="D161" s="216" t="str">
        <f>[2]!HsSetValue(E161,"FCC","Scenario#"&amp;R161&amp;";Years#"&amp;J161&amp;";Period#"&amp;I161&amp;";View#"&amp;S161&amp;";Entity#"&amp;H161&amp;";Data Source#"&amp;K161&amp;";Account#"&amp;F161&amp;";Intercompany#"&amp;L161&amp;";Movement#"&amp;Q161&amp;";Consolidation#"&amp;T161&amp;";Custom1#"&amp;M161&amp;";Custom2#"&amp;N161&amp;";Custom3#"&amp;O161&amp;";Custom4#"&amp;P161&amp;"")</f>
        <v>#Invalid Syntax</v>
      </c>
      <c r="E161" s="216">
        <f>SUMIFS('Investment Analysis'!$H$22:$H$69,'Investment Analysis'!$E$22:$E$69,"Certificates of Deposits",'Investment Analysis'!$AB$22:$AB$69,"8")</f>
        <v>0</v>
      </c>
      <c r="F161" s="217" t="s">
        <v>674</v>
      </c>
      <c r="G161" s="217" t="s">
        <v>1048</v>
      </c>
      <c r="H161" s="218" t="e">
        <f t="shared" si="57"/>
        <v>#N/A</v>
      </c>
      <c r="I161" s="218" t="str">
        <f t="shared" si="57"/>
        <v>Jun</v>
      </c>
      <c r="J161" s="217" t="str">
        <f t="shared" si="57"/>
        <v>FY25</v>
      </c>
      <c r="K161" s="217" t="str">
        <f t="shared" si="57"/>
        <v>FCCS_Other Data</v>
      </c>
      <c r="L161" s="217" t="str">
        <f t="shared" si="57"/>
        <v>FCCS_No Intercompany</v>
      </c>
      <c r="M161" s="217" t="str">
        <f t="shared" si="58"/>
        <v>No Custom1</v>
      </c>
      <c r="N161" s="217" t="str">
        <f t="shared" si="57"/>
        <v>No Custom2</v>
      </c>
      <c r="O161" s="217" t="s">
        <v>61</v>
      </c>
      <c r="P161" s="217" t="s">
        <v>565</v>
      </c>
      <c r="Q161" s="217" t="str">
        <f t="shared" si="59"/>
        <v>FCCS_ClosingBalance_Input</v>
      </c>
      <c r="R161" s="217" t="str">
        <f t="shared" si="60"/>
        <v>Actual</v>
      </c>
      <c r="S161" s="217" t="str">
        <f t="shared" si="60"/>
        <v>FCCS_YTD_Input</v>
      </c>
      <c r="T161" s="217" t="s">
        <v>850</v>
      </c>
    </row>
    <row r="162" spans="2:20" x14ac:dyDescent="0.3">
      <c r="B162" s="214" t="s">
        <v>667</v>
      </c>
      <c r="C162" s="215" t="s">
        <v>464</v>
      </c>
      <c r="D162" s="216" t="str">
        <f>[2]!HsSetValue(E162,"FCC","Scenario#"&amp;R162&amp;";Years#"&amp;J162&amp;";Period#"&amp;I162&amp;";View#"&amp;S162&amp;";Entity#"&amp;H162&amp;";Data Source#"&amp;K162&amp;";Account#"&amp;F162&amp;";Intercompany#"&amp;L162&amp;";Movement#"&amp;Q162&amp;";Consolidation#"&amp;T162&amp;";Custom1#"&amp;M162&amp;";Custom2#"&amp;N162&amp;";Custom3#"&amp;O162&amp;";Custom4#"&amp;P162&amp;"")</f>
        <v>#Invalid Syntax</v>
      </c>
      <c r="E162" s="216">
        <f>SUMIFS('Investment Analysis'!$H$22:$H$69,'Investment Analysis'!$E$22:$E$69,"Certificates of Deposits",'Investment Analysis'!$AB$22:$AB$69,"7")</f>
        <v>0</v>
      </c>
      <c r="F162" s="217" t="s">
        <v>674</v>
      </c>
      <c r="G162" s="217" t="s">
        <v>1048</v>
      </c>
      <c r="H162" s="218" t="e">
        <f t="shared" si="57"/>
        <v>#N/A</v>
      </c>
      <c r="I162" s="218" t="str">
        <f t="shared" si="57"/>
        <v>Jun</v>
      </c>
      <c r="J162" s="217" t="str">
        <f t="shared" si="57"/>
        <v>FY25</v>
      </c>
      <c r="K162" s="217" t="str">
        <f t="shared" si="57"/>
        <v>FCCS_Other Data</v>
      </c>
      <c r="L162" s="217" t="str">
        <f t="shared" si="57"/>
        <v>FCCS_No Intercompany</v>
      </c>
      <c r="M162" s="217" t="str">
        <f t="shared" si="58"/>
        <v>No Custom1</v>
      </c>
      <c r="N162" s="217" t="str">
        <f t="shared" si="57"/>
        <v>No Custom2</v>
      </c>
      <c r="O162" s="217" t="s">
        <v>62</v>
      </c>
      <c r="P162" s="217" t="s">
        <v>565</v>
      </c>
      <c r="Q162" s="217" t="str">
        <f t="shared" si="59"/>
        <v>FCCS_ClosingBalance_Input</v>
      </c>
      <c r="R162" s="217" t="str">
        <f t="shared" si="60"/>
        <v>Actual</v>
      </c>
      <c r="S162" s="217" t="str">
        <f t="shared" si="60"/>
        <v>FCCS_YTD_Input</v>
      </c>
      <c r="T162" s="217" t="s">
        <v>850</v>
      </c>
    </row>
    <row r="163" spans="2:20" x14ac:dyDescent="0.3">
      <c r="B163" s="214" t="s">
        <v>667</v>
      </c>
      <c r="C163" s="215" t="s">
        <v>464</v>
      </c>
      <c r="D163" s="216" t="str">
        <f>[2]!HsSetValue(E163,"FCC","Scenario#"&amp;R163&amp;";Years#"&amp;J163&amp;";Period#"&amp;I163&amp;";View#"&amp;S163&amp;";Entity#"&amp;H163&amp;";Data Source#"&amp;K163&amp;";Account#"&amp;F163&amp;";Intercompany#"&amp;L163&amp;";Movement#"&amp;Q163&amp;";Consolidation#"&amp;T163&amp;";Custom1#"&amp;M163&amp;";Custom2#"&amp;N163&amp;";Custom3#"&amp;O163&amp;";Custom4#"&amp;P163&amp;"")</f>
        <v>#Invalid Syntax</v>
      </c>
      <c r="E163" s="216">
        <f>SUMIFS('Investment Analysis'!$H$22:$H$69,'Investment Analysis'!$E$22:$E$69,"Certificates of Deposits",'Investment Analysis'!$AB$22:$AB$69,"6")</f>
        <v>0</v>
      </c>
      <c r="F163" s="217" t="s">
        <v>674</v>
      </c>
      <c r="G163" s="217" t="s">
        <v>1048</v>
      </c>
      <c r="H163" s="218" t="e">
        <f t="shared" si="57"/>
        <v>#N/A</v>
      </c>
      <c r="I163" s="218" t="str">
        <f t="shared" si="57"/>
        <v>Jun</v>
      </c>
      <c r="J163" s="217" t="str">
        <f t="shared" si="57"/>
        <v>FY25</v>
      </c>
      <c r="K163" s="217" t="str">
        <f t="shared" si="57"/>
        <v>FCCS_Other Data</v>
      </c>
      <c r="L163" s="217" t="str">
        <f t="shared" si="57"/>
        <v>FCCS_No Intercompany</v>
      </c>
      <c r="M163" s="217" t="str">
        <f t="shared" si="58"/>
        <v>No Custom1</v>
      </c>
      <c r="N163" s="217" t="str">
        <f t="shared" si="57"/>
        <v>No Custom2</v>
      </c>
      <c r="O163" s="217" t="s">
        <v>436</v>
      </c>
      <c r="P163" s="217" t="s">
        <v>565</v>
      </c>
      <c r="Q163" s="217" t="str">
        <f t="shared" si="59"/>
        <v>FCCS_ClosingBalance_Input</v>
      </c>
      <c r="R163" s="217" t="str">
        <f t="shared" si="60"/>
        <v>Actual</v>
      </c>
      <c r="S163" s="217" t="str">
        <f t="shared" si="60"/>
        <v>FCCS_YTD_Input</v>
      </c>
      <c r="T163" s="217" t="s">
        <v>850</v>
      </c>
    </row>
    <row r="164" spans="2:20" s="371" customFormat="1" x14ac:dyDescent="0.3">
      <c r="B164" s="214" t="s">
        <v>667</v>
      </c>
      <c r="C164" s="215" t="s">
        <v>464</v>
      </c>
      <c r="D164" s="216" t="str">
        <f>[2]!HsSetValue(E164,"FCC","Scenario#"&amp;R164&amp;";Years#"&amp;J164&amp;";Period#"&amp;I164&amp;";View#"&amp;S164&amp;";Entity#"&amp;H164&amp;";Data Source#"&amp;K164&amp;";Account#"&amp;F164&amp;";Intercompany#"&amp;L164&amp;";Movement#"&amp;Q164&amp;";Consolidation#"&amp;T164&amp;";Custom1#"&amp;M164&amp;";Custom2#"&amp;N164&amp;";Custom3#"&amp;O164&amp;";Custom4#"&amp;P164&amp;"")</f>
        <v>#Invalid Syntax</v>
      </c>
      <c r="E164" s="216">
        <f>SUMIFS('Investment Analysis'!$H$22:$H$69,'Investment Analysis'!$E$22:$E$69,"Certificates of Deposits",'Investment Analysis'!$AB$22:$AB$69,"5")</f>
        <v>0</v>
      </c>
      <c r="F164" s="217" t="s">
        <v>674</v>
      </c>
      <c r="G164" s="217" t="s">
        <v>1048</v>
      </c>
      <c r="H164" s="218" t="e">
        <f t="shared" si="57"/>
        <v>#N/A</v>
      </c>
      <c r="I164" s="218" t="str">
        <f t="shared" si="57"/>
        <v>Jun</v>
      </c>
      <c r="J164" s="217" t="str">
        <f t="shared" si="57"/>
        <v>FY25</v>
      </c>
      <c r="K164" s="217" t="str">
        <f t="shared" si="57"/>
        <v>FCCS_Other Data</v>
      </c>
      <c r="L164" s="217" t="str">
        <f t="shared" si="57"/>
        <v>FCCS_No Intercompany</v>
      </c>
      <c r="M164" s="217" t="str">
        <f t="shared" si="58"/>
        <v>No Custom1</v>
      </c>
      <c r="N164" s="217" t="str">
        <f t="shared" si="57"/>
        <v>No Custom2</v>
      </c>
      <c r="O164" s="217" t="s">
        <v>434</v>
      </c>
      <c r="P164" s="217" t="s">
        <v>565</v>
      </c>
      <c r="Q164" s="217" t="str">
        <f t="shared" si="59"/>
        <v>FCCS_ClosingBalance_Input</v>
      </c>
      <c r="R164" s="217" t="str">
        <f t="shared" si="60"/>
        <v>Actual</v>
      </c>
      <c r="S164" s="217" t="str">
        <f t="shared" si="60"/>
        <v>FCCS_YTD_Input</v>
      </c>
      <c r="T164" s="217" t="s">
        <v>850</v>
      </c>
    </row>
    <row r="165" spans="2:20" s="371" customFormat="1" x14ac:dyDescent="0.3">
      <c r="B165" s="214" t="s">
        <v>667</v>
      </c>
      <c r="C165" s="215" t="s">
        <v>464</v>
      </c>
      <c r="D165" s="216" t="str">
        <f>[2]!HsSetValue(E165,"FCC","Scenario#"&amp;R165&amp;";Years#"&amp;J165&amp;";Period#"&amp;I165&amp;";View#"&amp;S165&amp;";Entity#"&amp;H165&amp;";Data Source#"&amp;K165&amp;";Account#"&amp;F165&amp;";Intercompany#"&amp;L165&amp;";Movement#"&amp;Q165&amp;";Consolidation#"&amp;T165&amp;";Custom1#"&amp;M165&amp;";Custom2#"&amp;N165&amp;";Custom3#"&amp;O165&amp;";Custom4#"&amp;P165&amp;"")</f>
        <v>#Invalid Syntax</v>
      </c>
      <c r="E165" s="216">
        <f>SUMIFS('Investment Analysis'!$H$22:$H$69,'Investment Analysis'!$E$22:$E$69,"Certificates of Deposits",'Investment Analysis'!$AB$22:$AB$69,"4")</f>
        <v>0</v>
      </c>
      <c r="F165" s="217" t="s">
        <v>674</v>
      </c>
      <c r="G165" s="217" t="s">
        <v>1048</v>
      </c>
      <c r="H165" s="218" t="e">
        <f t="shared" si="57"/>
        <v>#N/A</v>
      </c>
      <c r="I165" s="218" t="str">
        <f t="shared" si="57"/>
        <v>Jun</v>
      </c>
      <c r="J165" s="217" t="str">
        <f t="shared" si="57"/>
        <v>FY25</v>
      </c>
      <c r="K165" s="217" t="str">
        <f t="shared" si="57"/>
        <v>FCCS_Other Data</v>
      </c>
      <c r="L165" s="217" t="str">
        <f t="shared" si="57"/>
        <v>FCCS_No Intercompany</v>
      </c>
      <c r="M165" s="217" t="str">
        <f t="shared" si="58"/>
        <v>No Custom1</v>
      </c>
      <c r="N165" s="217" t="str">
        <f t="shared" si="57"/>
        <v>No Custom2</v>
      </c>
      <c r="O165" s="217" t="s">
        <v>63</v>
      </c>
      <c r="P165" s="217" t="s">
        <v>565</v>
      </c>
      <c r="Q165" s="217" t="str">
        <f t="shared" si="59"/>
        <v>FCCS_ClosingBalance_Input</v>
      </c>
      <c r="R165" s="217" t="str">
        <f t="shared" si="60"/>
        <v>Actual</v>
      </c>
      <c r="S165" s="217" t="str">
        <f t="shared" si="60"/>
        <v>FCCS_YTD_Input</v>
      </c>
      <c r="T165" s="217" t="s">
        <v>850</v>
      </c>
    </row>
    <row r="166" spans="2:20" s="371" customFormat="1" x14ac:dyDescent="0.3">
      <c r="B166" s="214" t="s">
        <v>667</v>
      </c>
      <c r="C166" s="215" t="s">
        <v>464</v>
      </c>
      <c r="D166" s="216" t="str">
        <f>[2]!HsSetValue(E166,"FCC","Scenario#"&amp;R166&amp;";Years#"&amp;J166&amp;";Period#"&amp;I166&amp;";View#"&amp;S166&amp;";Entity#"&amp;H166&amp;";Data Source#"&amp;K166&amp;";Account#"&amp;F166&amp;";Intercompany#"&amp;L166&amp;";Movement#"&amp;Q166&amp;";Consolidation#"&amp;T166&amp;";Custom1#"&amp;M166&amp;";Custom2#"&amp;N166&amp;";Custom3#"&amp;O166&amp;";Custom4#"&amp;P166&amp;"")</f>
        <v>#Invalid Syntax</v>
      </c>
      <c r="E166" s="216">
        <f>SUMIFS('Investment Analysis'!$H$22:$H$69,'Investment Analysis'!$E$22:$E$69,"Certificates of Deposits",'Investment Analysis'!$AB$22:$AB$69,"3")</f>
        <v>0</v>
      </c>
      <c r="F166" s="217" t="s">
        <v>674</v>
      </c>
      <c r="G166" s="217" t="s">
        <v>1048</v>
      </c>
      <c r="H166" s="218" t="e">
        <f t="shared" si="57"/>
        <v>#N/A</v>
      </c>
      <c r="I166" s="218" t="str">
        <f t="shared" si="57"/>
        <v>Jun</v>
      </c>
      <c r="J166" s="217" t="str">
        <f t="shared" si="57"/>
        <v>FY25</v>
      </c>
      <c r="K166" s="217" t="str">
        <f t="shared" si="57"/>
        <v>FCCS_Other Data</v>
      </c>
      <c r="L166" s="217" t="str">
        <f t="shared" si="57"/>
        <v>FCCS_No Intercompany</v>
      </c>
      <c r="M166" s="217" t="str">
        <f t="shared" si="58"/>
        <v>No Custom1</v>
      </c>
      <c r="N166" s="217" t="str">
        <f t="shared" si="57"/>
        <v>No Custom2</v>
      </c>
      <c r="O166" s="217" t="s">
        <v>622</v>
      </c>
      <c r="P166" s="217" t="s">
        <v>565</v>
      </c>
      <c r="Q166" s="217" t="str">
        <f t="shared" si="59"/>
        <v>FCCS_ClosingBalance_Input</v>
      </c>
      <c r="R166" s="217" t="str">
        <f t="shared" si="60"/>
        <v>Actual</v>
      </c>
      <c r="S166" s="217" t="str">
        <f t="shared" si="60"/>
        <v>FCCS_YTD_Input</v>
      </c>
      <c r="T166" s="217" t="s">
        <v>850</v>
      </c>
    </row>
    <row r="167" spans="2:20" s="371" customFormat="1" x14ac:dyDescent="0.3">
      <c r="B167" s="214" t="s">
        <v>667</v>
      </c>
      <c r="C167" s="215" t="s">
        <v>464</v>
      </c>
      <c r="D167" s="216" t="str">
        <f>[2]!HsSetValue(E167,"FCC","Scenario#"&amp;R167&amp;";Years#"&amp;J167&amp;";Period#"&amp;I167&amp;";View#"&amp;S167&amp;";Entity#"&amp;H167&amp;";Data Source#"&amp;K167&amp;";Account#"&amp;F167&amp;";Intercompany#"&amp;L167&amp;";Movement#"&amp;Q167&amp;";Consolidation#"&amp;T167&amp;";Custom1#"&amp;M167&amp;";Custom2#"&amp;N167&amp;";Custom3#"&amp;O167&amp;";Custom4#"&amp;P167&amp;"")</f>
        <v>#Invalid Syntax</v>
      </c>
      <c r="E167" s="216">
        <f>SUMIFS('Investment Analysis'!$H$22:$H$69,'Investment Analysis'!$E$22:$E$69,"Certificates of Deposits",'Investment Analysis'!$AB$22:$AB$69,"2")</f>
        <v>0</v>
      </c>
      <c r="F167" s="217" t="s">
        <v>674</v>
      </c>
      <c r="G167" s="217" t="s">
        <v>1048</v>
      </c>
      <c r="H167" s="218" t="e">
        <f t="shared" si="57"/>
        <v>#N/A</v>
      </c>
      <c r="I167" s="218" t="str">
        <f t="shared" si="57"/>
        <v>Jun</v>
      </c>
      <c r="J167" s="217" t="str">
        <f t="shared" si="57"/>
        <v>FY25</v>
      </c>
      <c r="K167" s="217" t="str">
        <f t="shared" si="57"/>
        <v>FCCS_Other Data</v>
      </c>
      <c r="L167" s="217" t="str">
        <f t="shared" si="57"/>
        <v>FCCS_No Intercompany</v>
      </c>
      <c r="M167" s="217" t="str">
        <f t="shared" si="58"/>
        <v>No Custom1</v>
      </c>
      <c r="N167" s="217" t="str">
        <f t="shared" si="57"/>
        <v>No Custom2</v>
      </c>
      <c r="O167" s="217" t="s">
        <v>618</v>
      </c>
      <c r="P167" s="217" t="s">
        <v>565</v>
      </c>
      <c r="Q167" s="217" t="str">
        <f t="shared" si="59"/>
        <v>FCCS_ClosingBalance_Input</v>
      </c>
      <c r="R167" s="217" t="str">
        <f t="shared" si="60"/>
        <v>Actual</v>
      </c>
      <c r="S167" s="217" t="str">
        <f t="shared" si="60"/>
        <v>FCCS_YTD_Input</v>
      </c>
      <c r="T167" s="217" t="s">
        <v>850</v>
      </c>
    </row>
    <row r="168" spans="2:20" s="371" customFormat="1" x14ac:dyDescent="0.3">
      <c r="B168" s="214" t="s">
        <v>667</v>
      </c>
      <c r="C168" s="215" t="s">
        <v>464</v>
      </c>
      <c r="D168" s="216" t="str">
        <f>[2]!HsSetValue(E168,"FCC","Scenario#"&amp;R168&amp;";Years#"&amp;J168&amp;";Period#"&amp;I168&amp;";View#"&amp;S168&amp;";Entity#"&amp;H168&amp;";Data Source#"&amp;K168&amp;";Account#"&amp;F168&amp;";Intercompany#"&amp;L168&amp;";Movement#"&amp;Q168&amp;";Consolidation#"&amp;T168&amp;";Custom1#"&amp;M168&amp;";Custom2#"&amp;N168&amp;";Custom3#"&amp;O168&amp;";Custom4#"&amp;P168&amp;"")</f>
        <v>#Invalid Syntax</v>
      </c>
      <c r="E168" s="216">
        <f>SUMIFS('Investment Analysis'!$H$22:$H$69,'Investment Analysis'!$E$22:$E$69,"Certificates of Deposits",'Investment Analysis'!$AB$22:$AB$69,"1")</f>
        <v>0</v>
      </c>
      <c r="F168" s="217" t="s">
        <v>674</v>
      </c>
      <c r="G168" s="217" t="s">
        <v>1048</v>
      </c>
      <c r="H168" s="218" t="e">
        <f t="shared" si="57"/>
        <v>#N/A</v>
      </c>
      <c r="I168" s="218" t="str">
        <f t="shared" si="57"/>
        <v>Jun</v>
      </c>
      <c r="J168" s="217" t="str">
        <f t="shared" si="57"/>
        <v>FY25</v>
      </c>
      <c r="K168" s="217" t="str">
        <f t="shared" si="57"/>
        <v>FCCS_Other Data</v>
      </c>
      <c r="L168" s="217" t="str">
        <f t="shared" si="57"/>
        <v>FCCS_No Intercompany</v>
      </c>
      <c r="M168" s="217" t="str">
        <f t="shared" si="58"/>
        <v>No Custom1</v>
      </c>
      <c r="N168" s="217" t="str">
        <f t="shared" si="57"/>
        <v>No Custom2</v>
      </c>
      <c r="O168" s="217" t="s">
        <v>64</v>
      </c>
      <c r="P168" s="217" t="s">
        <v>565</v>
      </c>
      <c r="Q168" s="217" t="str">
        <f t="shared" si="59"/>
        <v>FCCS_ClosingBalance_Input</v>
      </c>
      <c r="R168" s="217" t="str">
        <f t="shared" si="60"/>
        <v>Actual</v>
      </c>
      <c r="S168" s="217" t="str">
        <f t="shared" si="60"/>
        <v>FCCS_YTD_Input</v>
      </c>
      <c r="T168" s="217" t="s">
        <v>850</v>
      </c>
    </row>
    <row r="169" spans="2:20" x14ac:dyDescent="0.3">
      <c r="B169" s="214" t="s">
        <v>667</v>
      </c>
      <c r="C169" s="215" t="s">
        <v>464</v>
      </c>
      <c r="D169" s="216" t="str">
        <f>[2]!HsSetValue(E169,"FCC","Scenario#"&amp;R169&amp;";Years#"&amp;J169&amp;";Period#"&amp;I169&amp;";View#"&amp;S169&amp;";Entity#"&amp;H169&amp;";Data Source#"&amp;K169&amp;";Account#"&amp;F169&amp;";Intercompany#"&amp;L169&amp;";Movement#"&amp;Q169&amp;";Consolidation#"&amp;T169&amp;";Custom1#"&amp;M169&amp;";Custom2#"&amp;N169&amp;";Custom3#"&amp;O169&amp;";Custom4#"&amp;P169&amp;"")</f>
        <v>#Invalid Syntax</v>
      </c>
      <c r="E169" s="216">
        <f>SUMIFS('Investment Analysis'!$H$22:$H$69,'Investment Analysis'!$E$22:$E$69,"Certificates of Deposits",'Investment Analysis'!$AI$22:$AI$69,"16")</f>
        <v>0</v>
      </c>
      <c r="F169" s="217" t="s">
        <v>674</v>
      </c>
      <c r="G169" s="217" t="s">
        <v>1048</v>
      </c>
      <c r="H169" s="218" t="e">
        <f t="shared" si="57"/>
        <v>#N/A</v>
      </c>
      <c r="I169" s="218" t="str">
        <f t="shared" si="57"/>
        <v>Jun</v>
      </c>
      <c r="J169" s="217" t="str">
        <f t="shared" si="57"/>
        <v>FY25</v>
      </c>
      <c r="K169" s="217" t="str">
        <f t="shared" si="57"/>
        <v>FCCS_Other Data</v>
      </c>
      <c r="L169" s="217" t="str">
        <f t="shared" si="57"/>
        <v>FCCS_No Intercompany</v>
      </c>
      <c r="M169" s="217" t="str">
        <f t="shared" si="58"/>
        <v>No Custom1</v>
      </c>
      <c r="N169" s="217" t="str">
        <f t="shared" si="57"/>
        <v>No Custom2</v>
      </c>
      <c r="O169" s="217" t="s">
        <v>726</v>
      </c>
      <c r="P169" s="217" t="s">
        <v>565</v>
      </c>
      <c r="Q169" s="217" t="str">
        <f t="shared" si="59"/>
        <v>FCCS_ClosingBalance_Input</v>
      </c>
      <c r="R169" s="217" t="str">
        <f t="shared" si="60"/>
        <v>Actual</v>
      </c>
      <c r="S169" s="217" t="str">
        <f t="shared" si="60"/>
        <v>FCCS_YTD_Input</v>
      </c>
      <c r="T169" s="217" t="s">
        <v>850</v>
      </c>
    </row>
    <row r="170" spans="2:20" x14ac:dyDescent="0.3">
      <c r="B170" s="214" t="s">
        <v>667</v>
      </c>
      <c r="C170" s="215" t="s">
        <v>464</v>
      </c>
      <c r="D170" s="216" t="str">
        <f>[2]!HsSetValue(E170,"FCC","Scenario#"&amp;R170&amp;";Years#"&amp;J170&amp;";Period#"&amp;I170&amp;";View#"&amp;S170&amp;";Entity#"&amp;H170&amp;";Data Source#"&amp;K170&amp;";Account#"&amp;F170&amp;";Intercompany#"&amp;L170&amp;";Movement#"&amp;Q170&amp;";Consolidation#"&amp;T170&amp;";Custom1#"&amp;M170&amp;";Custom2#"&amp;N170&amp;";Custom3#"&amp;O170&amp;";Custom4#"&amp;P170&amp;"")</f>
        <v>#Invalid Syntax</v>
      </c>
      <c r="E170" s="216">
        <f>SUMIFS('Investment Analysis'!$H$22:$H$69,'Investment Analysis'!$E$22:$E$69,"Certificates of Deposits",'Investment Analysis'!$AI$22:$AI$69,"15")</f>
        <v>0</v>
      </c>
      <c r="F170" s="217" t="s">
        <v>674</v>
      </c>
      <c r="G170" s="217" t="s">
        <v>1048</v>
      </c>
      <c r="H170" s="218" t="e">
        <f t="shared" si="57"/>
        <v>#N/A</v>
      </c>
      <c r="I170" s="218" t="str">
        <f t="shared" si="57"/>
        <v>Jun</v>
      </c>
      <c r="J170" s="217" t="str">
        <f t="shared" si="57"/>
        <v>FY25</v>
      </c>
      <c r="K170" s="217" t="str">
        <f t="shared" si="57"/>
        <v>FCCS_Other Data</v>
      </c>
      <c r="L170" s="217" t="str">
        <f t="shared" si="57"/>
        <v>FCCS_No Intercompany</v>
      </c>
      <c r="M170" s="217" t="str">
        <f t="shared" si="58"/>
        <v>No Custom1</v>
      </c>
      <c r="N170" s="217" t="str">
        <f t="shared" si="57"/>
        <v>No Custom2</v>
      </c>
      <c r="O170" s="217" t="s">
        <v>727</v>
      </c>
      <c r="P170" s="217" t="s">
        <v>565</v>
      </c>
      <c r="Q170" s="217" t="str">
        <f t="shared" si="59"/>
        <v>FCCS_ClosingBalance_Input</v>
      </c>
      <c r="R170" s="217" t="str">
        <f t="shared" si="60"/>
        <v>Actual</v>
      </c>
      <c r="S170" s="217" t="str">
        <f t="shared" si="60"/>
        <v>FCCS_YTD_Input</v>
      </c>
      <c r="T170" s="217" t="s">
        <v>850</v>
      </c>
    </row>
    <row r="171" spans="2:20" x14ac:dyDescent="0.3">
      <c r="B171" s="214" t="s">
        <v>667</v>
      </c>
      <c r="C171" s="215" t="s">
        <v>464</v>
      </c>
      <c r="D171" s="216" t="str">
        <f>[2]!HsSetValue(E171,"FCC","Scenario#"&amp;R171&amp;";Years#"&amp;J171&amp;";Period#"&amp;I171&amp;";View#"&amp;S171&amp;";Entity#"&amp;H171&amp;";Data Source#"&amp;K171&amp;";Account#"&amp;F171&amp;";Intercompany#"&amp;L171&amp;";Movement#"&amp;Q171&amp;";Consolidation#"&amp;T171&amp;";Custom1#"&amp;M171&amp;";Custom2#"&amp;N171&amp;";Custom3#"&amp;O171&amp;";Custom4#"&amp;P171&amp;"")</f>
        <v>#Invalid Syntax</v>
      </c>
      <c r="E171" s="216">
        <f>SUMIFS('Investment Analysis'!$H$22:$H$69,'Investment Analysis'!$E$22:$E$69,"Certificates of Deposits",'Investment Analysis'!$AI$22:$AI$69,"14")</f>
        <v>0</v>
      </c>
      <c r="F171" s="217" t="s">
        <v>674</v>
      </c>
      <c r="G171" s="217" t="s">
        <v>1048</v>
      </c>
      <c r="H171" s="218" t="e">
        <f t="shared" si="57"/>
        <v>#N/A</v>
      </c>
      <c r="I171" s="218" t="str">
        <f t="shared" si="57"/>
        <v>Jun</v>
      </c>
      <c r="J171" s="217" t="str">
        <f t="shared" si="57"/>
        <v>FY25</v>
      </c>
      <c r="K171" s="217" t="str">
        <f t="shared" si="57"/>
        <v>FCCS_Other Data</v>
      </c>
      <c r="L171" s="217" t="str">
        <f t="shared" si="57"/>
        <v>FCCS_No Intercompany</v>
      </c>
      <c r="M171" s="217" t="str">
        <f t="shared" si="58"/>
        <v>No Custom1</v>
      </c>
      <c r="N171" s="217" t="str">
        <f t="shared" si="57"/>
        <v>No Custom2</v>
      </c>
      <c r="O171" s="217" t="s">
        <v>728</v>
      </c>
      <c r="P171" s="217" t="s">
        <v>565</v>
      </c>
      <c r="Q171" s="217" t="str">
        <f t="shared" si="59"/>
        <v>FCCS_ClosingBalance_Input</v>
      </c>
      <c r="R171" s="217" t="str">
        <f t="shared" si="60"/>
        <v>Actual</v>
      </c>
      <c r="S171" s="217" t="str">
        <f t="shared" si="60"/>
        <v>FCCS_YTD_Input</v>
      </c>
      <c r="T171" s="217" t="s">
        <v>850</v>
      </c>
    </row>
    <row r="172" spans="2:20" x14ac:dyDescent="0.3">
      <c r="B172" s="214" t="s">
        <v>667</v>
      </c>
      <c r="C172" s="215" t="s">
        <v>464</v>
      </c>
      <c r="D172" s="216" t="str">
        <f>[2]!HsSetValue(E172,"FCC","Scenario#"&amp;R172&amp;";Years#"&amp;J172&amp;";Period#"&amp;I172&amp;";View#"&amp;S172&amp;";Entity#"&amp;H172&amp;";Data Source#"&amp;K172&amp;";Account#"&amp;F172&amp;";Intercompany#"&amp;L172&amp;";Movement#"&amp;Q172&amp;";Consolidation#"&amp;T172&amp;";Custom1#"&amp;M172&amp;";Custom2#"&amp;N172&amp;";Custom3#"&amp;O172&amp;";Custom4#"&amp;P172&amp;"")</f>
        <v>#Invalid Syntax</v>
      </c>
      <c r="E172" s="216">
        <f>SUMIFS('Investment Analysis'!$H$22:$H$69,'Investment Analysis'!$E$22:$E$69,"Certificates of Deposits",'Investment Analysis'!$AB$22:$AB$69,"0")+SUMIFS('Investment Analysis'!$H$22:$H$69,'Investment Analysis'!$E$22:$E$69,"Certificates of Deposits",'Investment Analysis'!$AI$22:$AI$69,"0")</f>
        <v>0</v>
      </c>
      <c r="F172" s="217" t="s">
        <v>674</v>
      </c>
      <c r="G172" s="217" t="s">
        <v>1048</v>
      </c>
      <c r="H172" s="218" t="e">
        <f t="shared" si="57"/>
        <v>#N/A</v>
      </c>
      <c r="I172" s="218" t="str">
        <f t="shared" si="57"/>
        <v>Jun</v>
      </c>
      <c r="J172" s="217" t="str">
        <f t="shared" si="57"/>
        <v>FY25</v>
      </c>
      <c r="K172" s="217" t="str">
        <f t="shared" si="57"/>
        <v>FCCS_Other Data</v>
      </c>
      <c r="L172" s="217" t="str">
        <f t="shared" si="57"/>
        <v>FCCS_No Intercompany</v>
      </c>
      <c r="M172" s="217" t="str">
        <f t="shared" si="58"/>
        <v>No Custom1</v>
      </c>
      <c r="N172" s="217" t="str">
        <f t="shared" si="57"/>
        <v>No Custom2</v>
      </c>
      <c r="O172" s="217" t="s">
        <v>609</v>
      </c>
      <c r="P172" s="217" t="s">
        <v>565</v>
      </c>
      <c r="Q172" s="217" t="str">
        <f t="shared" si="59"/>
        <v>FCCS_ClosingBalance_Input</v>
      </c>
      <c r="R172" s="217" t="str">
        <f t="shared" si="60"/>
        <v>Actual</v>
      </c>
      <c r="S172" s="217" t="str">
        <f t="shared" si="60"/>
        <v>FCCS_YTD_Input</v>
      </c>
      <c r="T172" s="217" t="s">
        <v>850</v>
      </c>
    </row>
    <row r="173" spans="2:20" x14ac:dyDescent="0.3">
      <c r="B173" s="210"/>
      <c r="C173" s="211"/>
      <c r="D173" s="212"/>
      <c r="E173" s="212"/>
    </row>
    <row r="174" spans="2:20" x14ac:dyDescent="0.3">
      <c r="B174" s="219" t="s">
        <v>1014</v>
      </c>
      <c r="C174" s="220" t="s">
        <v>464</v>
      </c>
      <c r="D174" s="221" t="str">
        <f>[2]!HsSetValue(E174,"FCC","Scenario#"&amp;R174&amp;";Years#"&amp;J174&amp;";Period#"&amp;I174&amp;";View#"&amp;S174&amp;";Entity#"&amp;H174&amp;";Data Source#"&amp;K174&amp;";Account#"&amp;F174&amp;";Intercompany#"&amp;L174&amp;";Movement#"&amp;Q174&amp;";Consolidation#"&amp;T174&amp;";Custom1#"&amp;M174&amp;";Custom2#"&amp;N174&amp;";Custom3#"&amp;O174&amp;";Custom4#"&amp;P174&amp;"")</f>
        <v>#Invalid Syntax</v>
      </c>
      <c r="E174" s="221">
        <f>SUMIFS('Investment Analysis'!$H$22:$H$69,'Investment Analysis'!$E$22:$E$69,"Certificates of Deposits",'Investment Analysis'!$AK$22:$AK$69,"21")</f>
        <v>0</v>
      </c>
      <c r="F174" s="222" t="s">
        <v>675</v>
      </c>
      <c r="G174" s="222" t="s">
        <v>1018</v>
      </c>
      <c r="H174" s="223" t="e">
        <f>+H$2</f>
        <v>#N/A</v>
      </c>
      <c r="I174" s="223" t="str">
        <f t="shared" ref="I174:I184" si="61">+I$2</f>
        <v>Jun</v>
      </c>
      <c r="J174" s="222" t="str">
        <f>+J$2</f>
        <v>FY25</v>
      </c>
      <c r="K174" s="222" t="s">
        <v>843</v>
      </c>
      <c r="L174" s="222" t="s">
        <v>844</v>
      </c>
      <c r="M174" s="222" t="s">
        <v>845</v>
      </c>
      <c r="N174" s="222" t="s">
        <v>846</v>
      </c>
      <c r="O174" s="222" t="s">
        <v>729</v>
      </c>
      <c r="P174" s="222" t="s">
        <v>565</v>
      </c>
      <c r="Q174" s="222" t="str">
        <f t="shared" ref="Q174:Q184" si="62">Q$2</f>
        <v>FCCS_ClosingBalance_Input</v>
      </c>
      <c r="R174" s="222" t="s">
        <v>169</v>
      </c>
      <c r="S174" s="222" t="s">
        <v>848</v>
      </c>
      <c r="T174" s="222" t="s">
        <v>850</v>
      </c>
    </row>
    <row r="175" spans="2:20" x14ac:dyDescent="0.3">
      <c r="B175" s="219" t="s">
        <v>1014</v>
      </c>
      <c r="C175" s="220" t="s">
        <v>464</v>
      </c>
      <c r="D175" s="221" t="str">
        <f>[2]!HsSetValue(E175,"FCC","Scenario#"&amp;R175&amp;";Years#"&amp;J175&amp;";Period#"&amp;I175&amp;";View#"&amp;S175&amp;";Entity#"&amp;H175&amp;";Data Source#"&amp;K175&amp;";Account#"&amp;F175&amp;";Intercompany#"&amp;L175&amp;";Movement#"&amp;Q175&amp;";Consolidation#"&amp;T175&amp;";Custom1#"&amp;M175&amp;";Custom2#"&amp;N175&amp;";Custom3#"&amp;O175&amp;";Custom4#"&amp;P175&amp;"")</f>
        <v>#Invalid Syntax</v>
      </c>
      <c r="E175" s="221">
        <f>SUMIFS('Investment Analysis'!$H$22:$H$69,'Investment Analysis'!$E$22:$E$69,"Certificates of Deposits",'Investment Analysis'!$AK$22:$AK$69,"22")</f>
        <v>0</v>
      </c>
      <c r="F175" s="222" t="s">
        <v>675</v>
      </c>
      <c r="G175" s="222" t="s">
        <v>1018</v>
      </c>
      <c r="H175" s="223" t="e">
        <f>+H$2</f>
        <v>#N/A</v>
      </c>
      <c r="I175" s="223" t="str">
        <f t="shared" si="61"/>
        <v>Jun</v>
      </c>
      <c r="J175" s="222" t="str">
        <f>+J$2</f>
        <v>FY25</v>
      </c>
      <c r="K175" s="222" t="str">
        <f t="shared" ref="K175:N178" si="63">+K$2</f>
        <v>FCCS_Other Data</v>
      </c>
      <c r="L175" s="222" t="str">
        <f t="shared" si="63"/>
        <v>FCCS_No Intercompany</v>
      </c>
      <c r="M175" s="222" t="str">
        <f>+M$1</f>
        <v>No Custom1</v>
      </c>
      <c r="N175" s="222" t="str">
        <f t="shared" si="63"/>
        <v>No Custom2</v>
      </c>
      <c r="O175" s="222" t="s">
        <v>730</v>
      </c>
      <c r="P175" s="222" t="s">
        <v>565</v>
      </c>
      <c r="Q175" s="222" t="str">
        <f t="shared" si="62"/>
        <v>FCCS_ClosingBalance_Input</v>
      </c>
      <c r="R175" s="222" t="str">
        <f t="shared" ref="R175:S178" si="64">+R$2</f>
        <v>Actual</v>
      </c>
      <c r="S175" s="222" t="str">
        <f t="shared" si="64"/>
        <v>FCCS_YTD_Input</v>
      </c>
      <c r="T175" s="222" t="s">
        <v>850</v>
      </c>
    </row>
    <row r="176" spans="2:20" x14ac:dyDescent="0.3">
      <c r="B176" s="219" t="s">
        <v>1014</v>
      </c>
      <c r="C176" s="220" t="s">
        <v>464</v>
      </c>
      <c r="D176" s="221" t="str">
        <f>[2]!HsSetValue(E176,"FCC","Scenario#"&amp;R176&amp;";Years#"&amp;J176&amp;";Period#"&amp;I176&amp;";View#"&amp;S176&amp;";Entity#"&amp;H176&amp;";Data Source#"&amp;K176&amp;";Account#"&amp;F176&amp;";Intercompany#"&amp;L176&amp;";Movement#"&amp;Q176&amp;";Consolidation#"&amp;T176&amp;";Custom1#"&amp;M176&amp;";Custom2#"&amp;N176&amp;";Custom3#"&amp;O176&amp;";Custom4#"&amp;P176&amp;"")</f>
        <v>#Invalid Syntax</v>
      </c>
      <c r="E176" s="221">
        <f>SUMIFS('Investment Analysis'!$H$22:$H$69,'Investment Analysis'!$E$22:$E$69,"Certificates of Deposits",'Investment Analysis'!$AK$22:$AK$69,"23")</f>
        <v>0</v>
      </c>
      <c r="F176" s="222" t="s">
        <v>675</v>
      </c>
      <c r="G176" s="222" t="s">
        <v>1018</v>
      </c>
      <c r="H176" s="223" t="e">
        <f>+H$2</f>
        <v>#N/A</v>
      </c>
      <c r="I176" s="223" t="str">
        <f t="shared" si="61"/>
        <v>Jun</v>
      </c>
      <c r="J176" s="222" t="str">
        <f>+J$2</f>
        <v>FY25</v>
      </c>
      <c r="K176" s="222" t="str">
        <f t="shared" si="63"/>
        <v>FCCS_Other Data</v>
      </c>
      <c r="L176" s="222" t="str">
        <f t="shared" si="63"/>
        <v>FCCS_No Intercompany</v>
      </c>
      <c r="M176" s="222" t="str">
        <f>+M$1</f>
        <v>No Custom1</v>
      </c>
      <c r="N176" s="222" t="str">
        <f t="shared" si="63"/>
        <v>No Custom2</v>
      </c>
      <c r="O176" s="222" t="s">
        <v>731</v>
      </c>
      <c r="P176" s="222" t="s">
        <v>565</v>
      </c>
      <c r="Q176" s="222" t="str">
        <f t="shared" si="62"/>
        <v>FCCS_ClosingBalance_Input</v>
      </c>
      <c r="R176" s="222" t="str">
        <f t="shared" si="64"/>
        <v>Actual</v>
      </c>
      <c r="S176" s="222" t="str">
        <f t="shared" si="64"/>
        <v>FCCS_YTD_Input</v>
      </c>
      <c r="T176" s="222" t="s">
        <v>850</v>
      </c>
    </row>
    <row r="177" spans="2:20" x14ac:dyDescent="0.3">
      <c r="B177" s="219" t="s">
        <v>1014</v>
      </c>
      <c r="C177" s="220" t="s">
        <v>464</v>
      </c>
      <c r="D177" s="221" t="str">
        <f>[2]!HsSetValue(E177,"FCC","Scenario#"&amp;R177&amp;";Years#"&amp;J177&amp;";Period#"&amp;I177&amp;";View#"&amp;S177&amp;";Entity#"&amp;H177&amp;";Data Source#"&amp;K177&amp;";Account#"&amp;F177&amp;";Intercompany#"&amp;L177&amp;";Movement#"&amp;Q177&amp;";Consolidation#"&amp;T177&amp;";Custom1#"&amp;M177&amp;";Custom2#"&amp;N177&amp;";Custom3#"&amp;O177&amp;";Custom4#"&amp;P177&amp;"")</f>
        <v>#Invalid Syntax</v>
      </c>
      <c r="E177" s="221">
        <f>SUMIFS('Investment Analysis'!$H$22:$H$69,'Investment Analysis'!$E$22:$E$69,"Certificates of Deposits",'Investment Analysis'!$AK$22:$AK$69,"24")</f>
        <v>0</v>
      </c>
      <c r="F177" s="222" t="s">
        <v>675</v>
      </c>
      <c r="G177" s="222" t="s">
        <v>1018</v>
      </c>
      <c r="H177" s="223" t="e">
        <f>+H$2</f>
        <v>#N/A</v>
      </c>
      <c r="I177" s="223" t="str">
        <f t="shared" si="61"/>
        <v>Jun</v>
      </c>
      <c r="J177" s="222" t="str">
        <f>+J$2</f>
        <v>FY25</v>
      </c>
      <c r="K177" s="222" t="str">
        <f t="shared" si="63"/>
        <v>FCCS_Other Data</v>
      </c>
      <c r="L177" s="222" t="str">
        <f t="shared" si="63"/>
        <v>FCCS_No Intercompany</v>
      </c>
      <c r="M177" s="222" t="str">
        <f>+M$1</f>
        <v>No Custom1</v>
      </c>
      <c r="N177" s="222" t="str">
        <f t="shared" si="63"/>
        <v>No Custom2</v>
      </c>
      <c r="O177" s="222" t="s">
        <v>732</v>
      </c>
      <c r="P177" s="222" t="s">
        <v>565</v>
      </c>
      <c r="Q177" s="222" t="str">
        <f t="shared" si="62"/>
        <v>FCCS_ClosingBalance_Input</v>
      </c>
      <c r="R177" s="222" t="str">
        <f t="shared" si="64"/>
        <v>Actual</v>
      </c>
      <c r="S177" s="222" t="str">
        <f t="shared" si="64"/>
        <v>FCCS_YTD_Input</v>
      </c>
      <c r="T177" s="222" t="s">
        <v>850</v>
      </c>
    </row>
    <row r="178" spans="2:20" x14ac:dyDescent="0.3">
      <c r="B178" s="219" t="s">
        <v>1014</v>
      </c>
      <c r="C178" s="220" t="s">
        <v>464</v>
      </c>
      <c r="D178" s="221" t="str">
        <f>[2]!HsSetValue(E178,"FCC","Scenario#"&amp;R178&amp;";Years#"&amp;J178&amp;";Period#"&amp;I178&amp;";View#"&amp;S178&amp;";Entity#"&amp;H178&amp;";Data Source#"&amp;K178&amp;";Account#"&amp;F178&amp;";Intercompany#"&amp;L178&amp;";Movement#"&amp;Q178&amp;";Consolidation#"&amp;T178&amp;";Custom1#"&amp;M178&amp;";Custom2#"&amp;N178&amp;";Custom3#"&amp;O178&amp;";Custom4#"&amp;P178&amp;"")</f>
        <v>#Invalid Syntax</v>
      </c>
      <c r="E178" s="221">
        <f>SUMIFS('Investment Analysis'!$H$22:$H$69,'Investment Analysis'!$E$22:$E$69,"Certificates of Deposits",'Investment Analysis'!$AK$22:$AK$69,"25")</f>
        <v>0</v>
      </c>
      <c r="F178" s="222" t="s">
        <v>675</v>
      </c>
      <c r="G178" s="222" t="s">
        <v>1018</v>
      </c>
      <c r="H178" s="223" t="e">
        <f>+H$2</f>
        <v>#N/A</v>
      </c>
      <c r="I178" s="223" t="str">
        <f t="shared" si="61"/>
        <v>Jun</v>
      </c>
      <c r="J178" s="222" t="str">
        <f>+J$2</f>
        <v>FY25</v>
      </c>
      <c r="K178" s="222" t="str">
        <f t="shared" si="63"/>
        <v>FCCS_Other Data</v>
      </c>
      <c r="L178" s="222" t="str">
        <f t="shared" si="63"/>
        <v>FCCS_No Intercompany</v>
      </c>
      <c r="M178" s="222" t="str">
        <f>+M$1</f>
        <v>No Custom1</v>
      </c>
      <c r="N178" s="222" t="str">
        <f t="shared" si="63"/>
        <v>No Custom2</v>
      </c>
      <c r="O178" s="222" t="s">
        <v>733</v>
      </c>
      <c r="P178" s="222" t="s">
        <v>565</v>
      </c>
      <c r="Q178" s="222" t="str">
        <f t="shared" si="62"/>
        <v>FCCS_ClosingBalance_Input</v>
      </c>
      <c r="R178" s="222" t="str">
        <f t="shared" si="64"/>
        <v>Actual</v>
      </c>
      <c r="S178" s="222" t="str">
        <f t="shared" si="64"/>
        <v>FCCS_YTD_Input</v>
      </c>
      <c r="T178" s="222" t="s">
        <v>850</v>
      </c>
    </row>
    <row r="179" spans="2:20" x14ac:dyDescent="0.3">
      <c r="B179" s="210"/>
      <c r="C179" s="211"/>
      <c r="D179" s="212"/>
      <c r="E179" s="212"/>
    </row>
    <row r="180" spans="2:20" x14ac:dyDescent="0.3">
      <c r="B180" s="364" t="s">
        <v>668</v>
      </c>
      <c r="C180" s="364" t="s">
        <v>954</v>
      </c>
      <c r="D180" s="366" t="str">
        <f>[2]!HsSetValue(E180,"FCC","Scenario#"&amp;R180&amp;";Years#"&amp;J180&amp;";Period#"&amp;I180&amp;";View#"&amp;S180&amp;";Entity#"&amp;H180&amp;";Data Source#"&amp;K180&amp;";Account#"&amp;F180&amp;";Intercompany#"&amp;L180&amp;";Movement#"&amp;Q180&amp;";Consolidation#"&amp;T180&amp;";Custom1#"&amp;M180&amp;";Custom2#"&amp;N180&amp;";Custom3#"&amp;O180&amp;";Custom4#"&amp;P180&amp;"")</f>
        <v>#Invalid Syntax</v>
      </c>
      <c r="E180" s="366">
        <f>SUMIF('Investment Analysis'!$E$22:$E$69,'FCC Investments - Load Tab'!C180,'Investment Analysis'!$K$22:$K$69)</f>
        <v>0</v>
      </c>
      <c r="F180" s="367" t="s">
        <v>673</v>
      </c>
      <c r="G180" s="367" t="str">
        <f>"Inv. Analysis - Interest Rate Risk - "&amp;C180</f>
        <v>Inv. Analysis - Interest Rate Risk - Commingled Funds</v>
      </c>
      <c r="H180" s="368" t="e">
        <f>+H$2</f>
        <v>#N/A</v>
      </c>
      <c r="I180" s="368" t="str">
        <f t="shared" si="61"/>
        <v>Jun</v>
      </c>
      <c r="J180" s="367" t="str">
        <f>+J$2</f>
        <v>FY25</v>
      </c>
      <c r="K180" s="367" t="s">
        <v>843</v>
      </c>
      <c r="L180" s="367" t="s">
        <v>844</v>
      </c>
      <c r="M180" s="367" t="s">
        <v>845</v>
      </c>
      <c r="N180" s="367" t="s">
        <v>846</v>
      </c>
      <c r="O180" s="367" t="s">
        <v>721</v>
      </c>
      <c r="P180" s="367" t="s">
        <v>874</v>
      </c>
      <c r="Q180" s="367" t="str">
        <f t="shared" si="62"/>
        <v>FCCS_ClosingBalance_Input</v>
      </c>
      <c r="R180" s="367" t="s">
        <v>169</v>
      </c>
      <c r="S180" s="367" t="s">
        <v>848</v>
      </c>
      <c r="T180" s="367" t="s">
        <v>850</v>
      </c>
    </row>
    <row r="181" spans="2:20" x14ac:dyDescent="0.3">
      <c r="B181" s="364" t="s">
        <v>668</v>
      </c>
      <c r="C181" s="364" t="s">
        <v>955</v>
      </c>
      <c r="D181" s="366" t="str">
        <f>[2]!HsSetValue(E181,"FCC","Scenario#"&amp;R181&amp;";Years#"&amp;J181&amp;";Period#"&amp;I181&amp;";View#"&amp;S181&amp;";Entity#"&amp;H181&amp;";Data Source#"&amp;K181&amp;";Account#"&amp;F181&amp;";Intercompany#"&amp;L181&amp;";Movement#"&amp;Q181&amp;";Consolidation#"&amp;T181&amp;";Custom1#"&amp;M181&amp;";Custom2#"&amp;N181&amp;";Custom3#"&amp;O181&amp;";Custom4#"&amp;P181&amp;"")</f>
        <v>#Invalid Syntax</v>
      </c>
      <c r="E181" s="366">
        <f>SUMIF('Investment Analysis'!$E$22:$E$69,'[3]FCC Investments - Load E182`Tab'!C180,'Investment Analysis'!$L$22:$L$69)</f>
        <v>0</v>
      </c>
      <c r="F181" s="367" t="s">
        <v>673</v>
      </c>
      <c r="G181" s="367" t="str">
        <f t="shared" ref="G181:G184" si="65">"Inv. Analysis - Interest Rate Risk - "&amp;C181</f>
        <v xml:space="preserve">Inv. Analysis - Interest Rate Risk - Commingled Funds                                     </v>
      </c>
      <c r="H181" s="368" t="e">
        <f>+H$2</f>
        <v>#N/A</v>
      </c>
      <c r="I181" s="368" t="str">
        <f t="shared" si="61"/>
        <v>Jun</v>
      </c>
      <c r="J181" s="367" t="str">
        <f>+J$2</f>
        <v>FY25</v>
      </c>
      <c r="K181" s="367" t="str">
        <f t="shared" ref="K181:N184" si="66">+K$2</f>
        <v>FCCS_Other Data</v>
      </c>
      <c r="L181" s="367" t="str">
        <f t="shared" si="66"/>
        <v>FCCS_No Intercompany</v>
      </c>
      <c r="M181" s="367" t="str">
        <f>+M$1</f>
        <v>No Custom1</v>
      </c>
      <c r="N181" s="367" t="str">
        <f t="shared" si="66"/>
        <v>No Custom2</v>
      </c>
      <c r="O181" s="367" t="s">
        <v>722</v>
      </c>
      <c r="P181" s="367" t="s">
        <v>874</v>
      </c>
      <c r="Q181" s="367" t="str">
        <f t="shared" si="62"/>
        <v>FCCS_ClosingBalance_Input</v>
      </c>
      <c r="R181" s="367" t="str">
        <f t="shared" ref="R181:S184" si="67">+R$2</f>
        <v>Actual</v>
      </c>
      <c r="S181" s="367" t="str">
        <f t="shared" si="67"/>
        <v>FCCS_YTD_Input</v>
      </c>
      <c r="T181" s="367" t="s">
        <v>850</v>
      </c>
    </row>
    <row r="182" spans="2:20" x14ac:dyDescent="0.3">
      <c r="B182" s="364" t="s">
        <v>668</v>
      </c>
      <c r="C182" s="364" t="s">
        <v>955</v>
      </c>
      <c r="D182" s="366" t="str">
        <f>[2]!HsSetValue(E182,"FCC","Scenario#"&amp;R182&amp;";Years#"&amp;J182&amp;";Period#"&amp;I182&amp;";View#"&amp;S182&amp;";Entity#"&amp;H182&amp;";Data Source#"&amp;K182&amp;";Account#"&amp;F182&amp;";Intercompany#"&amp;L182&amp;";Movement#"&amp;Q182&amp;";Consolidation#"&amp;T182&amp;";Custom1#"&amp;M182&amp;";Custom2#"&amp;N182&amp;";Custom3#"&amp;O182&amp;";Custom4#"&amp;P182&amp;"")</f>
        <v>#Invalid Syntax</v>
      </c>
      <c r="E182" s="366">
        <f>SUMIF('Investment Analysis'!$E$22:$E$69,'FCC Investments - Load Tab'!C180,'Investment Analysis'!$M$22:$M$69)</f>
        <v>0</v>
      </c>
      <c r="F182" s="367" t="s">
        <v>673</v>
      </c>
      <c r="G182" s="367" t="str">
        <f t="shared" si="65"/>
        <v xml:space="preserve">Inv. Analysis - Interest Rate Risk - Commingled Funds                                     </v>
      </c>
      <c r="H182" s="368" t="e">
        <f>+H$2</f>
        <v>#N/A</v>
      </c>
      <c r="I182" s="368" t="str">
        <f t="shared" si="61"/>
        <v>Jun</v>
      </c>
      <c r="J182" s="367" t="str">
        <f>+J$2</f>
        <v>FY25</v>
      </c>
      <c r="K182" s="367" t="str">
        <f t="shared" si="66"/>
        <v>FCCS_Other Data</v>
      </c>
      <c r="L182" s="367" t="str">
        <f t="shared" si="66"/>
        <v>FCCS_No Intercompany</v>
      </c>
      <c r="M182" s="367" t="str">
        <f>+M$1</f>
        <v>No Custom1</v>
      </c>
      <c r="N182" s="367" t="str">
        <f t="shared" si="66"/>
        <v>No Custom2</v>
      </c>
      <c r="O182" s="367" t="s">
        <v>723</v>
      </c>
      <c r="P182" s="367" t="s">
        <v>874</v>
      </c>
      <c r="Q182" s="367" t="str">
        <f t="shared" si="62"/>
        <v>FCCS_ClosingBalance_Input</v>
      </c>
      <c r="R182" s="367" t="str">
        <f t="shared" si="67"/>
        <v>Actual</v>
      </c>
      <c r="S182" s="367" t="str">
        <f t="shared" si="67"/>
        <v>FCCS_YTD_Input</v>
      </c>
      <c r="T182" s="367" t="s">
        <v>850</v>
      </c>
    </row>
    <row r="183" spans="2:20" x14ac:dyDescent="0.3">
      <c r="B183" s="364" t="s">
        <v>668</v>
      </c>
      <c r="C183" s="364" t="s">
        <v>955</v>
      </c>
      <c r="D183" s="366" t="str">
        <f>[2]!HsSetValue(E183,"FCC","Scenario#"&amp;R183&amp;";Years#"&amp;J183&amp;";Period#"&amp;I183&amp;";View#"&amp;S183&amp;";Entity#"&amp;H183&amp;";Data Source#"&amp;K183&amp;";Account#"&amp;F183&amp;";Intercompany#"&amp;L183&amp;";Movement#"&amp;Q183&amp;";Consolidation#"&amp;T183&amp;";Custom1#"&amp;M183&amp;";Custom2#"&amp;N183&amp;";Custom3#"&amp;O183&amp;";Custom4#"&amp;P183&amp;"")</f>
        <v>#Invalid Syntax</v>
      </c>
      <c r="E183" s="366">
        <f>SUMIF('Investment Analysis'!$E$22:$E$69,'FCC Investments - Load Tab'!C183,'Investment Analysis'!$N$22:$N$69)</f>
        <v>0</v>
      </c>
      <c r="F183" s="367" t="s">
        <v>673</v>
      </c>
      <c r="G183" s="367" t="str">
        <f t="shared" si="65"/>
        <v xml:space="preserve">Inv. Analysis - Interest Rate Risk - Commingled Funds                                     </v>
      </c>
      <c r="H183" s="368" t="e">
        <f>+H$2</f>
        <v>#N/A</v>
      </c>
      <c r="I183" s="368" t="str">
        <f t="shared" si="61"/>
        <v>Jun</v>
      </c>
      <c r="J183" s="367" t="str">
        <f>+J$2</f>
        <v>FY25</v>
      </c>
      <c r="K183" s="367" t="str">
        <f t="shared" si="66"/>
        <v>FCCS_Other Data</v>
      </c>
      <c r="L183" s="367" t="str">
        <f t="shared" si="66"/>
        <v>FCCS_No Intercompany</v>
      </c>
      <c r="M183" s="367" t="str">
        <f>+M$1</f>
        <v>No Custom1</v>
      </c>
      <c r="N183" s="367" t="str">
        <f t="shared" si="66"/>
        <v>No Custom2</v>
      </c>
      <c r="O183" s="367" t="s">
        <v>724</v>
      </c>
      <c r="P183" s="367" t="s">
        <v>874</v>
      </c>
      <c r="Q183" s="367" t="str">
        <f t="shared" si="62"/>
        <v>FCCS_ClosingBalance_Input</v>
      </c>
      <c r="R183" s="367" t="str">
        <f t="shared" si="67"/>
        <v>Actual</v>
      </c>
      <c r="S183" s="367" t="str">
        <f t="shared" si="67"/>
        <v>FCCS_YTD_Input</v>
      </c>
      <c r="T183" s="367" t="s">
        <v>850</v>
      </c>
    </row>
    <row r="184" spans="2:20" x14ac:dyDescent="0.3">
      <c r="B184" s="364" t="s">
        <v>668</v>
      </c>
      <c r="C184" s="364" t="s">
        <v>955</v>
      </c>
      <c r="D184" s="366" t="str">
        <f>[2]!HsSetValue(E184,"FCC","Scenario#"&amp;R184&amp;";Years#"&amp;J184&amp;";Period#"&amp;I184&amp;";View#"&amp;S184&amp;";Entity#"&amp;H184&amp;";Data Source#"&amp;K184&amp;";Account#"&amp;F184&amp;";Intercompany#"&amp;L184&amp;";Movement#"&amp;Q184&amp;";Consolidation#"&amp;T184&amp;";Custom1#"&amp;M184&amp;";Custom2#"&amp;N184&amp;";Custom3#"&amp;O184&amp;";Custom4#"&amp;P184&amp;"")</f>
        <v>#Invalid Syntax</v>
      </c>
      <c r="E184" s="366">
        <f>SUMIF('Investment Analysis'!$E$2:$E$69,'FCC Investments - Load Tab'!C184,'Investment Analysis'!$O$2:$O$69)</f>
        <v>0</v>
      </c>
      <c r="F184" s="367" t="s">
        <v>673</v>
      </c>
      <c r="G184" s="367" t="str">
        <f t="shared" si="65"/>
        <v xml:space="preserve">Inv. Analysis - Interest Rate Risk - Commingled Funds                                     </v>
      </c>
      <c r="H184" s="368" t="e">
        <f>+H$2</f>
        <v>#N/A</v>
      </c>
      <c r="I184" s="368" t="str">
        <f t="shared" si="61"/>
        <v>Jun</v>
      </c>
      <c r="J184" s="367" t="str">
        <f>+J$2</f>
        <v>FY25</v>
      </c>
      <c r="K184" s="367" t="str">
        <f t="shared" si="66"/>
        <v>FCCS_Other Data</v>
      </c>
      <c r="L184" s="367" t="str">
        <f t="shared" si="66"/>
        <v>FCCS_No Intercompany</v>
      </c>
      <c r="M184" s="367" t="str">
        <f>+M$1</f>
        <v>No Custom1</v>
      </c>
      <c r="N184" s="367" t="str">
        <f t="shared" si="66"/>
        <v>No Custom2</v>
      </c>
      <c r="O184" s="367" t="s">
        <v>725</v>
      </c>
      <c r="P184" s="367" t="s">
        <v>874</v>
      </c>
      <c r="Q184" s="367" t="str">
        <f t="shared" si="62"/>
        <v>FCCS_ClosingBalance_Input</v>
      </c>
      <c r="R184" s="367" t="str">
        <f t="shared" si="67"/>
        <v>Actual</v>
      </c>
      <c r="S184" s="367" t="str">
        <f t="shared" si="67"/>
        <v>FCCS_YTD_Input</v>
      </c>
      <c r="T184" s="367" t="s">
        <v>850</v>
      </c>
    </row>
    <row r="185" spans="2:20" ht="16.5" customHeight="1" x14ac:dyDescent="0.3">
      <c r="B185" s="210"/>
      <c r="C185" s="210"/>
      <c r="D185" s="212"/>
      <c r="E185" s="212"/>
    </row>
    <row r="186" spans="2:20" x14ac:dyDescent="0.3">
      <c r="B186" s="214" t="s">
        <v>667</v>
      </c>
      <c r="C186" s="214" t="s">
        <v>870</v>
      </c>
      <c r="D186" s="216" t="str">
        <f>[2]!HsSetValue(E186,"FCC","Scenario#"&amp;R186&amp;";Years#"&amp;J186&amp;";Period#"&amp;I186&amp;";View#"&amp;S186&amp;";Entity#"&amp;H186&amp;";Data Source#"&amp;K186&amp;";Account#"&amp;F186&amp;";Intercompany#"&amp;L186&amp;";Movement#"&amp;Q186&amp;";Consolidation#"&amp;T186&amp;";Custom1#"&amp;M186&amp;";Custom2#"&amp;N186&amp;";Custom3#"&amp;O186&amp;";Custom4#"&amp;P186&amp;"")</f>
        <v>#Invalid Syntax</v>
      </c>
      <c r="E186" s="216">
        <f>SUMIFS('Investment Analysis'!$H$22:$H$69,'Investment Analysis'!$E$22:$E$69,"Commingled Funds",'Investment Analysis'!$AB$22:$AB$69,"10")</f>
        <v>0</v>
      </c>
      <c r="F186" s="217" t="s">
        <v>674</v>
      </c>
      <c r="G186" s="217" t="str">
        <f t="shared" ref="G186:G199" si="68">"Inv. Analysis - Credit Quality Risk - "&amp;C186</f>
        <v xml:space="preserve">Inv. Analysis - Credit Quality Risk - Commingled Funds                                          </v>
      </c>
      <c r="H186" s="218" t="e">
        <f t="shared" ref="H186:N199" si="69">+H$2</f>
        <v>#N/A</v>
      </c>
      <c r="I186" s="218" t="str">
        <f t="shared" si="69"/>
        <v>Jun</v>
      </c>
      <c r="J186" s="217" t="str">
        <f t="shared" si="69"/>
        <v>FY25</v>
      </c>
      <c r="K186" s="217" t="str">
        <f t="shared" si="69"/>
        <v>FCCS_Other Data</v>
      </c>
      <c r="L186" s="217" t="str">
        <f t="shared" si="69"/>
        <v>FCCS_No Intercompany</v>
      </c>
      <c r="M186" s="217" t="str">
        <f t="shared" ref="M186:M199" si="70">+M$1</f>
        <v>No Custom1</v>
      </c>
      <c r="N186" s="217" t="str">
        <f t="shared" si="69"/>
        <v>No Custom2</v>
      </c>
      <c r="O186" s="217" t="s">
        <v>433</v>
      </c>
      <c r="P186" s="217" t="s">
        <v>874</v>
      </c>
      <c r="Q186" s="217" t="str">
        <f t="shared" ref="Q186:Q199" si="71">Q$2</f>
        <v>FCCS_ClosingBalance_Input</v>
      </c>
      <c r="R186" s="217" t="str">
        <f t="shared" ref="R186:S199" si="72">+R$2</f>
        <v>Actual</v>
      </c>
      <c r="S186" s="217" t="str">
        <f t="shared" si="72"/>
        <v>FCCS_YTD_Input</v>
      </c>
      <c r="T186" s="217" t="s">
        <v>850</v>
      </c>
    </row>
    <row r="187" spans="2:20" x14ac:dyDescent="0.3">
      <c r="B187" s="214" t="s">
        <v>667</v>
      </c>
      <c r="C187" s="214" t="s">
        <v>870</v>
      </c>
      <c r="D187" s="216" t="str">
        <f>[2]!HsSetValue(E187,"FCC","Scenario#"&amp;R187&amp;";Years#"&amp;J187&amp;";Period#"&amp;I187&amp;";View#"&amp;S187&amp;";Entity#"&amp;H187&amp;";Data Source#"&amp;K187&amp;";Account#"&amp;F187&amp;";Intercompany#"&amp;L187&amp;";Movement#"&amp;Q187&amp;";Consolidation#"&amp;T187&amp;";Custom1#"&amp;M187&amp;";Custom2#"&amp;N187&amp;";Custom3#"&amp;O187&amp;";Custom4#"&amp;P187&amp;"")</f>
        <v>#Invalid Syntax</v>
      </c>
      <c r="E187" s="216">
        <f>SUMIFS('Investment Analysis'!$H$22:$H$69,'Investment Analysis'!$E$22:$E$69,"Commingled Funds",'Investment Analysis'!$AB$22:$AB$69,"9")</f>
        <v>0</v>
      </c>
      <c r="F187" s="217" t="s">
        <v>674</v>
      </c>
      <c r="G187" s="217" t="str">
        <f t="shared" si="68"/>
        <v xml:space="preserve">Inv. Analysis - Credit Quality Risk - Commingled Funds                                          </v>
      </c>
      <c r="H187" s="218" t="e">
        <f t="shared" si="69"/>
        <v>#N/A</v>
      </c>
      <c r="I187" s="218" t="str">
        <f t="shared" si="69"/>
        <v>Jun</v>
      </c>
      <c r="J187" s="217" t="str">
        <f t="shared" si="69"/>
        <v>FY25</v>
      </c>
      <c r="K187" s="217" t="str">
        <f t="shared" si="69"/>
        <v>FCCS_Other Data</v>
      </c>
      <c r="L187" s="217" t="str">
        <f t="shared" si="69"/>
        <v>FCCS_No Intercompany</v>
      </c>
      <c r="M187" s="217" t="str">
        <f t="shared" si="70"/>
        <v>No Custom1</v>
      </c>
      <c r="N187" s="217" t="str">
        <f t="shared" si="69"/>
        <v>No Custom2</v>
      </c>
      <c r="O187" s="217" t="s">
        <v>596</v>
      </c>
      <c r="P187" s="217" t="s">
        <v>874</v>
      </c>
      <c r="Q187" s="217" t="str">
        <f t="shared" si="71"/>
        <v>FCCS_ClosingBalance_Input</v>
      </c>
      <c r="R187" s="217" t="str">
        <f t="shared" si="72"/>
        <v>Actual</v>
      </c>
      <c r="S187" s="217" t="str">
        <f t="shared" si="72"/>
        <v>FCCS_YTD_Input</v>
      </c>
      <c r="T187" s="217" t="s">
        <v>850</v>
      </c>
    </row>
    <row r="188" spans="2:20" x14ac:dyDescent="0.3">
      <c r="B188" s="214" t="s">
        <v>667</v>
      </c>
      <c r="C188" s="214" t="s">
        <v>870</v>
      </c>
      <c r="D188" s="216" t="str">
        <f>[2]!HsSetValue(E188,"FCC","Scenario#"&amp;R188&amp;";Years#"&amp;J188&amp;";Period#"&amp;I188&amp;";View#"&amp;S188&amp;";Entity#"&amp;H188&amp;";Data Source#"&amp;K188&amp;";Account#"&amp;F188&amp;";Intercompany#"&amp;L188&amp;";Movement#"&amp;Q188&amp;";Consolidation#"&amp;T188&amp;";Custom1#"&amp;M188&amp;";Custom2#"&amp;N188&amp;";Custom3#"&amp;O188&amp;";Custom4#"&amp;P188&amp;"")</f>
        <v>#Invalid Syntax</v>
      </c>
      <c r="E188" s="216">
        <f>SUMIFS('Investment Analysis'!$H$22:$H$69,'Investment Analysis'!$E$22:$E$69,"Commingled Funds",'Investment Analysis'!$AB$22:$AB$69,"8")</f>
        <v>0</v>
      </c>
      <c r="F188" s="217" t="s">
        <v>674</v>
      </c>
      <c r="G188" s="217" t="str">
        <f t="shared" si="68"/>
        <v xml:space="preserve">Inv. Analysis - Credit Quality Risk - Commingled Funds                                          </v>
      </c>
      <c r="H188" s="218" t="e">
        <f t="shared" si="69"/>
        <v>#N/A</v>
      </c>
      <c r="I188" s="218" t="str">
        <f t="shared" si="69"/>
        <v>Jun</v>
      </c>
      <c r="J188" s="217" t="str">
        <f t="shared" si="69"/>
        <v>FY25</v>
      </c>
      <c r="K188" s="217" t="str">
        <f t="shared" si="69"/>
        <v>FCCS_Other Data</v>
      </c>
      <c r="L188" s="217" t="str">
        <f t="shared" si="69"/>
        <v>FCCS_No Intercompany</v>
      </c>
      <c r="M188" s="217" t="str">
        <f t="shared" si="70"/>
        <v>No Custom1</v>
      </c>
      <c r="N188" s="217" t="str">
        <f t="shared" si="69"/>
        <v>No Custom2</v>
      </c>
      <c r="O188" s="217" t="s">
        <v>61</v>
      </c>
      <c r="P188" s="217" t="s">
        <v>874</v>
      </c>
      <c r="Q188" s="217" t="str">
        <f t="shared" si="71"/>
        <v>FCCS_ClosingBalance_Input</v>
      </c>
      <c r="R188" s="217" t="str">
        <f t="shared" si="72"/>
        <v>Actual</v>
      </c>
      <c r="S188" s="217" t="str">
        <f t="shared" si="72"/>
        <v>FCCS_YTD_Input</v>
      </c>
      <c r="T188" s="217" t="s">
        <v>850</v>
      </c>
    </row>
    <row r="189" spans="2:20" x14ac:dyDescent="0.3">
      <c r="B189" s="214" t="s">
        <v>667</v>
      </c>
      <c r="C189" s="214" t="s">
        <v>870</v>
      </c>
      <c r="D189" s="216" t="str">
        <f>[2]!HsSetValue(E189,"FCC","Scenario#"&amp;R189&amp;";Years#"&amp;J189&amp;";Period#"&amp;I189&amp;";View#"&amp;S189&amp;";Entity#"&amp;H189&amp;";Data Source#"&amp;K189&amp;";Account#"&amp;F189&amp;";Intercompany#"&amp;L189&amp;";Movement#"&amp;Q189&amp;";Consolidation#"&amp;T189&amp;";Custom1#"&amp;M189&amp;";Custom2#"&amp;N189&amp;";Custom3#"&amp;O189&amp;";Custom4#"&amp;P189&amp;"")</f>
        <v>#Invalid Syntax</v>
      </c>
      <c r="E189" s="216">
        <f>SUMIFS('Investment Analysis'!$H$22:$H$69,'Investment Analysis'!$E$22:$E$69,"Commingled Funds",'Investment Analysis'!$AB$22:$AB$69,"7")</f>
        <v>0</v>
      </c>
      <c r="F189" s="217" t="s">
        <v>674</v>
      </c>
      <c r="G189" s="217" t="str">
        <f t="shared" si="68"/>
        <v xml:space="preserve">Inv. Analysis - Credit Quality Risk - Commingled Funds                                          </v>
      </c>
      <c r="H189" s="218" t="e">
        <f t="shared" si="69"/>
        <v>#N/A</v>
      </c>
      <c r="I189" s="218" t="str">
        <f t="shared" si="69"/>
        <v>Jun</v>
      </c>
      <c r="J189" s="217" t="str">
        <f t="shared" si="69"/>
        <v>FY25</v>
      </c>
      <c r="K189" s="217" t="str">
        <f t="shared" si="69"/>
        <v>FCCS_Other Data</v>
      </c>
      <c r="L189" s="217" t="str">
        <f t="shared" si="69"/>
        <v>FCCS_No Intercompany</v>
      </c>
      <c r="M189" s="217" t="str">
        <f t="shared" si="70"/>
        <v>No Custom1</v>
      </c>
      <c r="N189" s="217" t="str">
        <f t="shared" si="69"/>
        <v>No Custom2</v>
      </c>
      <c r="O189" s="217" t="s">
        <v>62</v>
      </c>
      <c r="P189" s="217" t="s">
        <v>874</v>
      </c>
      <c r="Q189" s="217" t="str">
        <f t="shared" si="71"/>
        <v>FCCS_ClosingBalance_Input</v>
      </c>
      <c r="R189" s="217" t="str">
        <f t="shared" si="72"/>
        <v>Actual</v>
      </c>
      <c r="S189" s="217" t="str">
        <f t="shared" si="72"/>
        <v>FCCS_YTD_Input</v>
      </c>
      <c r="T189" s="217" t="s">
        <v>850</v>
      </c>
    </row>
    <row r="190" spans="2:20" x14ac:dyDescent="0.3">
      <c r="B190" s="214" t="s">
        <v>667</v>
      </c>
      <c r="C190" s="214" t="s">
        <v>870</v>
      </c>
      <c r="D190" s="216" t="str">
        <f>[2]!HsSetValue(E190,"FCC","Scenario#"&amp;R190&amp;";Years#"&amp;J190&amp;";Period#"&amp;I190&amp;";View#"&amp;S190&amp;";Entity#"&amp;H190&amp;";Data Source#"&amp;K190&amp;";Account#"&amp;F190&amp;";Intercompany#"&amp;L190&amp;";Movement#"&amp;Q190&amp;";Consolidation#"&amp;T190&amp;";Custom1#"&amp;M190&amp;";Custom2#"&amp;N190&amp;";Custom3#"&amp;O190&amp;";Custom4#"&amp;P190&amp;"")</f>
        <v>#Invalid Syntax</v>
      </c>
      <c r="E190" s="216">
        <f>SUMIFS('Investment Analysis'!$H$22:$H$69,'Investment Analysis'!$E$22:$E$69,"Commingled Funds",'Investment Analysis'!$AB$22:$AB$69,"6")</f>
        <v>0</v>
      </c>
      <c r="F190" s="217" t="s">
        <v>674</v>
      </c>
      <c r="G190" s="217" t="str">
        <f t="shared" si="68"/>
        <v xml:space="preserve">Inv. Analysis - Credit Quality Risk - Commingled Funds                                          </v>
      </c>
      <c r="H190" s="218" t="e">
        <f t="shared" si="69"/>
        <v>#N/A</v>
      </c>
      <c r="I190" s="218" t="str">
        <f t="shared" si="69"/>
        <v>Jun</v>
      </c>
      <c r="J190" s="217" t="str">
        <f t="shared" si="69"/>
        <v>FY25</v>
      </c>
      <c r="K190" s="217" t="str">
        <f t="shared" si="69"/>
        <v>FCCS_Other Data</v>
      </c>
      <c r="L190" s="217" t="str">
        <f t="shared" si="69"/>
        <v>FCCS_No Intercompany</v>
      </c>
      <c r="M190" s="217" t="str">
        <f t="shared" si="70"/>
        <v>No Custom1</v>
      </c>
      <c r="N190" s="217" t="str">
        <f t="shared" si="69"/>
        <v>No Custom2</v>
      </c>
      <c r="O190" s="217" t="s">
        <v>436</v>
      </c>
      <c r="P190" s="217" t="s">
        <v>874</v>
      </c>
      <c r="Q190" s="217" t="str">
        <f t="shared" si="71"/>
        <v>FCCS_ClosingBalance_Input</v>
      </c>
      <c r="R190" s="217" t="str">
        <f t="shared" si="72"/>
        <v>Actual</v>
      </c>
      <c r="S190" s="217" t="str">
        <f t="shared" si="72"/>
        <v>FCCS_YTD_Input</v>
      </c>
      <c r="T190" s="217" t="s">
        <v>850</v>
      </c>
    </row>
    <row r="191" spans="2:20" s="371" customFormat="1" x14ac:dyDescent="0.3">
      <c r="B191" s="214" t="s">
        <v>667</v>
      </c>
      <c r="C191" s="214" t="s">
        <v>870</v>
      </c>
      <c r="D191" s="216" t="str">
        <f>[2]!HsSetValue(E191,"FCC","Scenario#"&amp;R191&amp;";Years#"&amp;J191&amp;";Period#"&amp;I191&amp;";View#"&amp;S191&amp;";Entity#"&amp;H191&amp;";Data Source#"&amp;K191&amp;";Account#"&amp;F191&amp;";Intercompany#"&amp;L191&amp;";Movement#"&amp;Q191&amp;";Consolidation#"&amp;T191&amp;";Custom1#"&amp;M191&amp;";Custom2#"&amp;N191&amp;";Custom3#"&amp;O191&amp;";Custom4#"&amp;P191&amp;"")</f>
        <v>#Invalid Syntax</v>
      </c>
      <c r="E191" s="216">
        <f>SUMIFS('Investment Analysis'!$H$22:$H$69,'Investment Analysis'!$E$22:$E$69,"Commingled Funds",'Investment Analysis'!$AB$22:$AB$69,"5")</f>
        <v>0</v>
      </c>
      <c r="F191" s="217" t="s">
        <v>674</v>
      </c>
      <c r="G191" s="217" t="str">
        <f t="shared" si="68"/>
        <v xml:space="preserve">Inv. Analysis - Credit Quality Risk - Commingled Funds                                          </v>
      </c>
      <c r="H191" s="218" t="e">
        <f t="shared" si="69"/>
        <v>#N/A</v>
      </c>
      <c r="I191" s="218" t="str">
        <f t="shared" si="69"/>
        <v>Jun</v>
      </c>
      <c r="J191" s="217" t="str">
        <f t="shared" si="69"/>
        <v>FY25</v>
      </c>
      <c r="K191" s="217" t="str">
        <f t="shared" si="69"/>
        <v>FCCS_Other Data</v>
      </c>
      <c r="L191" s="217" t="str">
        <f t="shared" si="69"/>
        <v>FCCS_No Intercompany</v>
      </c>
      <c r="M191" s="217" t="str">
        <f t="shared" si="70"/>
        <v>No Custom1</v>
      </c>
      <c r="N191" s="217" t="str">
        <f t="shared" si="69"/>
        <v>No Custom2</v>
      </c>
      <c r="O191" s="217" t="s">
        <v>434</v>
      </c>
      <c r="P191" s="217" t="s">
        <v>874</v>
      </c>
      <c r="Q191" s="217" t="str">
        <f t="shared" si="71"/>
        <v>FCCS_ClosingBalance_Input</v>
      </c>
      <c r="R191" s="217" t="str">
        <f t="shared" si="72"/>
        <v>Actual</v>
      </c>
      <c r="S191" s="217" t="str">
        <f t="shared" si="72"/>
        <v>FCCS_YTD_Input</v>
      </c>
      <c r="T191" s="217" t="s">
        <v>850</v>
      </c>
    </row>
    <row r="192" spans="2:20" s="371" customFormat="1" x14ac:dyDescent="0.3">
      <c r="B192" s="214" t="s">
        <v>667</v>
      </c>
      <c r="C192" s="214" t="s">
        <v>870</v>
      </c>
      <c r="D192" s="216" t="str">
        <f>[2]!HsSetValue(E192,"FCC","Scenario#"&amp;R192&amp;";Years#"&amp;J192&amp;";Period#"&amp;I192&amp;";View#"&amp;S192&amp;";Entity#"&amp;H192&amp;";Data Source#"&amp;K192&amp;";Account#"&amp;F192&amp;";Intercompany#"&amp;L192&amp;";Movement#"&amp;Q192&amp;";Consolidation#"&amp;T192&amp;";Custom1#"&amp;M192&amp;";Custom2#"&amp;N192&amp;";Custom3#"&amp;O192&amp;";Custom4#"&amp;P192&amp;"")</f>
        <v>#Invalid Syntax</v>
      </c>
      <c r="E192" s="216">
        <f>SUMIFS('Investment Analysis'!$H$22:$H$69,'Investment Analysis'!$E$22:$E$69,"Commingled Funds",'Investment Analysis'!$AB$22:$AB$69,"4")</f>
        <v>0</v>
      </c>
      <c r="F192" s="217" t="s">
        <v>674</v>
      </c>
      <c r="G192" s="217" t="str">
        <f t="shared" si="68"/>
        <v xml:space="preserve">Inv. Analysis - Credit Quality Risk - Commingled Funds                                          </v>
      </c>
      <c r="H192" s="218" t="e">
        <f t="shared" si="69"/>
        <v>#N/A</v>
      </c>
      <c r="I192" s="218" t="str">
        <f t="shared" si="69"/>
        <v>Jun</v>
      </c>
      <c r="J192" s="217" t="str">
        <f t="shared" si="69"/>
        <v>FY25</v>
      </c>
      <c r="K192" s="217" t="str">
        <f t="shared" si="69"/>
        <v>FCCS_Other Data</v>
      </c>
      <c r="L192" s="217" t="str">
        <f t="shared" si="69"/>
        <v>FCCS_No Intercompany</v>
      </c>
      <c r="M192" s="217" t="str">
        <f t="shared" si="70"/>
        <v>No Custom1</v>
      </c>
      <c r="N192" s="217" t="str">
        <f t="shared" si="69"/>
        <v>No Custom2</v>
      </c>
      <c r="O192" s="217" t="s">
        <v>63</v>
      </c>
      <c r="P192" s="217" t="s">
        <v>874</v>
      </c>
      <c r="Q192" s="217" t="str">
        <f t="shared" si="71"/>
        <v>FCCS_ClosingBalance_Input</v>
      </c>
      <c r="R192" s="217" t="str">
        <f t="shared" si="72"/>
        <v>Actual</v>
      </c>
      <c r="S192" s="217" t="str">
        <f t="shared" si="72"/>
        <v>FCCS_YTD_Input</v>
      </c>
      <c r="T192" s="217" t="s">
        <v>850</v>
      </c>
    </row>
    <row r="193" spans="2:20" s="371" customFormat="1" x14ac:dyDescent="0.3">
      <c r="B193" s="214" t="s">
        <v>667</v>
      </c>
      <c r="C193" s="214" t="s">
        <v>870</v>
      </c>
      <c r="D193" s="216" t="str">
        <f>[2]!HsSetValue(E193,"FCC","Scenario#"&amp;R193&amp;";Years#"&amp;J193&amp;";Period#"&amp;I193&amp;";View#"&amp;S193&amp;";Entity#"&amp;H193&amp;";Data Source#"&amp;K193&amp;";Account#"&amp;F193&amp;";Intercompany#"&amp;L193&amp;";Movement#"&amp;Q193&amp;";Consolidation#"&amp;T193&amp;";Custom1#"&amp;M193&amp;";Custom2#"&amp;N193&amp;";Custom3#"&amp;O193&amp;";Custom4#"&amp;P193&amp;"")</f>
        <v>#Invalid Syntax</v>
      </c>
      <c r="E193" s="216">
        <f>SUMIFS('Investment Analysis'!$H$22:$H$69,'Investment Analysis'!$E$22:$E$69,"Commingled Funds",'Investment Analysis'!$AB$22:$AB$69,"3")</f>
        <v>0</v>
      </c>
      <c r="F193" s="217" t="s">
        <v>674</v>
      </c>
      <c r="G193" s="217" t="str">
        <f t="shared" si="68"/>
        <v xml:space="preserve">Inv. Analysis - Credit Quality Risk - Commingled Funds                                          </v>
      </c>
      <c r="H193" s="218" t="e">
        <f t="shared" si="69"/>
        <v>#N/A</v>
      </c>
      <c r="I193" s="218" t="str">
        <f t="shared" si="69"/>
        <v>Jun</v>
      </c>
      <c r="J193" s="217" t="str">
        <f t="shared" si="69"/>
        <v>FY25</v>
      </c>
      <c r="K193" s="217" t="str">
        <f t="shared" si="69"/>
        <v>FCCS_Other Data</v>
      </c>
      <c r="L193" s="217" t="str">
        <f t="shared" si="69"/>
        <v>FCCS_No Intercompany</v>
      </c>
      <c r="M193" s="217" t="str">
        <f t="shared" si="70"/>
        <v>No Custom1</v>
      </c>
      <c r="N193" s="217" t="str">
        <f t="shared" si="69"/>
        <v>No Custom2</v>
      </c>
      <c r="O193" s="217" t="s">
        <v>622</v>
      </c>
      <c r="P193" s="217" t="s">
        <v>874</v>
      </c>
      <c r="Q193" s="217" t="str">
        <f t="shared" si="71"/>
        <v>FCCS_ClosingBalance_Input</v>
      </c>
      <c r="R193" s="217" t="str">
        <f t="shared" si="72"/>
        <v>Actual</v>
      </c>
      <c r="S193" s="217" t="str">
        <f t="shared" si="72"/>
        <v>FCCS_YTD_Input</v>
      </c>
      <c r="T193" s="217" t="s">
        <v>850</v>
      </c>
    </row>
    <row r="194" spans="2:20" s="371" customFormat="1" x14ac:dyDescent="0.3">
      <c r="B194" s="214" t="s">
        <v>667</v>
      </c>
      <c r="C194" s="214" t="s">
        <v>870</v>
      </c>
      <c r="D194" s="216" t="str">
        <f>[2]!HsSetValue(E194,"FCC","Scenario#"&amp;R194&amp;";Years#"&amp;J194&amp;";Period#"&amp;I194&amp;";View#"&amp;S194&amp;";Entity#"&amp;H194&amp;";Data Source#"&amp;K194&amp;";Account#"&amp;F194&amp;";Intercompany#"&amp;L194&amp;";Movement#"&amp;Q194&amp;";Consolidation#"&amp;T194&amp;";Custom1#"&amp;M194&amp;";Custom2#"&amp;N194&amp;";Custom3#"&amp;O194&amp;";Custom4#"&amp;P194&amp;"")</f>
        <v>#Invalid Syntax</v>
      </c>
      <c r="E194" s="216">
        <f>SUMIFS('Investment Analysis'!$H$22:$H$69,'Investment Analysis'!$E$22:$E$69,"Commingled Funds",'Investment Analysis'!$AB$22:$AB$69,"2")</f>
        <v>0</v>
      </c>
      <c r="F194" s="217" t="s">
        <v>674</v>
      </c>
      <c r="G194" s="217" t="str">
        <f t="shared" si="68"/>
        <v xml:space="preserve">Inv. Analysis - Credit Quality Risk - Commingled Funds                                          </v>
      </c>
      <c r="H194" s="218" t="e">
        <f t="shared" si="69"/>
        <v>#N/A</v>
      </c>
      <c r="I194" s="218" t="str">
        <f t="shared" si="69"/>
        <v>Jun</v>
      </c>
      <c r="J194" s="217" t="str">
        <f t="shared" si="69"/>
        <v>FY25</v>
      </c>
      <c r="K194" s="217" t="str">
        <f t="shared" si="69"/>
        <v>FCCS_Other Data</v>
      </c>
      <c r="L194" s="217" t="str">
        <f t="shared" si="69"/>
        <v>FCCS_No Intercompany</v>
      </c>
      <c r="M194" s="217" t="str">
        <f t="shared" si="70"/>
        <v>No Custom1</v>
      </c>
      <c r="N194" s="217" t="str">
        <f t="shared" si="69"/>
        <v>No Custom2</v>
      </c>
      <c r="O194" s="217" t="s">
        <v>618</v>
      </c>
      <c r="P194" s="217" t="s">
        <v>874</v>
      </c>
      <c r="Q194" s="217" t="str">
        <f t="shared" si="71"/>
        <v>FCCS_ClosingBalance_Input</v>
      </c>
      <c r="R194" s="217" t="str">
        <f t="shared" si="72"/>
        <v>Actual</v>
      </c>
      <c r="S194" s="217" t="str">
        <f t="shared" si="72"/>
        <v>FCCS_YTD_Input</v>
      </c>
      <c r="T194" s="217" t="s">
        <v>850</v>
      </c>
    </row>
    <row r="195" spans="2:20" s="371" customFormat="1" x14ac:dyDescent="0.3">
      <c r="B195" s="214" t="s">
        <v>667</v>
      </c>
      <c r="C195" s="214" t="s">
        <v>870</v>
      </c>
      <c r="D195" s="216" t="str">
        <f>[2]!HsSetValue(E195,"FCC","Scenario#"&amp;R195&amp;";Years#"&amp;J195&amp;";Period#"&amp;I195&amp;";View#"&amp;S195&amp;";Entity#"&amp;H195&amp;";Data Source#"&amp;K195&amp;";Account#"&amp;F195&amp;";Intercompany#"&amp;L195&amp;";Movement#"&amp;Q195&amp;";Consolidation#"&amp;T195&amp;";Custom1#"&amp;M195&amp;";Custom2#"&amp;N195&amp;";Custom3#"&amp;O195&amp;";Custom4#"&amp;P195&amp;"")</f>
        <v>#Invalid Syntax</v>
      </c>
      <c r="E195" s="216">
        <f>SUMIFS('Investment Analysis'!$H$22:$H$69,'Investment Analysis'!$E$22:$E$69,"Commingled Funds",'Investment Analysis'!$AB$22:$AB$69,"1")</f>
        <v>0</v>
      </c>
      <c r="F195" s="217" t="s">
        <v>674</v>
      </c>
      <c r="G195" s="217" t="str">
        <f t="shared" si="68"/>
        <v xml:space="preserve">Inv. Analysis - Credit Quality Risk - Commingled Funds                                          </v>
      </c>
      <c r="H195" s="218" t="e">
        <f t="shared" si="69"/>
        <v>#N/A</v>
      </c>
      <c r="I195" s="218" t="str">
        <f t="shared" si="69"/>
        <v>Jun</v>
      </c>
      <c r="J195" s="217" t="str">
        <f t="shared" si="69"/>
        <v>FY25</v>
      </c>
      <c r="K195" s="217" t="str">
        <f t="shared" si="69"/>
        <v>FCCS_Other Data</v>
      </c>
      <c r="L195" s="217" t="str">
        <f t="shared" si="69"/>
        <v>FCCS_No Intercompany</v>
      </c>
      <c r="M195" s="217" t="str">
        <f t="shared" si="70"/>
        <v>No Custom1</v>
      </c>
      <c r="N195" s="217" t="str">
        <f t="shared" si="69"/>
        <v>No Custom2</v>
      </c>
      <c r="O195" s="217" t="s">
        <v>64</v>
      </c>
      <c r="P195" s="217" t="s">
        <v>874</v>
      </c>
      <c r="Q195" s="217" t="str">
        <f t="shared" si="71"/>
        <v>FCCS_ClosingBalance_Input</v>
      </c>
      <c r="R195" s="217" t="str">
        <f t="shared" si="72"/>
        <v>Actual</v>
      </c>
      <c r="S195" s="217" t="str">
        <f t="shared" si="72"/>
        <v>FCCS_YTD_Input</v>
      </c>
      <c r="T195" s="217" t="s">
        <v>850</v>
      </c>
    </row>
    <row r="196" spans="2:20" x14ac:dyDescent="0.3">
      <c r="B196" s="214" t="s">
        <v>667</v>
      </c>
      <c r="C196" s="214" t="s">
        <v>870</v>
      </c>
      <c r="D196" s="216" t="str">
        <f>[2]!HsSetValue(E196,"FCC","Scenario#"&amp;R196&amp;";Years#"&amp;J196&amp;";Period#"&amp;I196&amp;";View#"&amp;S196&amp;";Entity#"&amp;H196&amp;";Data Source#"&amp;K196&amp;";Account#"&amp;F196&amp;";Intercompany#"&amp;L196&amp;";Movement#"&amp;Q196&amp;";Consolidation#"&amp;T196&amp;";Custom1#"&amp;M196&amp;";Custom2#"&amp;N196&amp;";Custom3#"&amp;O196&amp;";Custom4#"&amp;P196&amp;"")</f>
        <v>#Invalid Syntax</v>
      </c>
      <c r="E196" s="216">
        <f>SUMIFS('Investment Analysis'!$H$22:$H$69,'Investment Analysis'!$E$22:$E$69,"Commingled Funds",'Investment Analysis'!$AI$22:$AI$69,"16")</f>
        <v>0</v>
      </c>
      <c r="F196" s="217" t="s">
        <v>674</v>
      </c>
      <c r="G196" s="217" t="str">
        <f t="shared" si="68"/>
        <v xml:space="preserve">Inv. Analysis - Credit Quality Risk - Commingled Funds                                          </v>
      </c>
      <c r="H196" s="218" t="e">
        <f t="shared" si="69"/>
        <v>#N/A</v>
      </c>
      <c r="I196" s="218" t="str">
        <f t="shared" si="69"/>
        <v>Jun</v>
      </c>
      <c r="J196" s="217" t="str">
        <f t="shared" si="69"/>
        <v>FY25</v>
      </c>
      <c r="K196" s="217" t="str">
        <f t="shared" si="69"/>
        <v>FCCS_Other Data</v>
      </c>
      <c r="L196" s="217" t="str">
        <f t="shared" si="69"/>
        <v>FCCS_No Intercompany</v>
      </c>
      <c r="M196" s="217" t="str">
        <f t="shared" si="70"/>
        <v>No Custom1</v>
      </c>
      <c r="N196" s="217" t="str">
        <f t="shared" si="69"/>
        <v>No Custom2</v>
      </c>
      <c r="O196" s="217" t="s">
        <v>726</v>
      </c>
      <c r="P196" s="217" t="s">
        <v>874</v>
      </c>
      <c r="Q196" s="217" t="str">
        <f t="shared" si="71"/>
        <v>FCCS_ClosingBalance_Input</v>
      </c>
      <c r="R196" s="217" t="str">
        <f t="shared" si="72"/>
        <v>Actual</v>
      </c>
      <c r="S196" s="217" t="str">
        <f t="shared" si="72"/>
        <v>FCCS_YTD_Input</v>
      </c>
      <c r="T196" s="217" t="s">
        <v>850</v>
      </c>
    </row>
    <row r="197" spans="2:20" x14ac:dyDescent="0.3">
      <c r="B197" s="214" t="s">
        <v>667</v>
      </c>
      <c r="C197" s="214" t="s">
        <v>870</v>
      </c>
      <c r="D197" s="216" t="str">
        <f>[2]!HsSetValue(E197,"FCC","Scenario#"&amp;R197&amp;";Years#"&amp;J197&amp;";Period#"&amp;I197&amp;";View#"&amp;S197&amp;";Entity#"&amp;H197&amp;";Data Source#"&amp;K197&amp;";Account#"&amp;F197&amp;";Intercompany#"&amp;L197&amp;";Movement#"&amp;Q197&amp;";Consolidation#"&amp;T197&amp;";Custom1#"&amp;M197&amp;";Custom2#"&amp;N197&amp;";Custom3#"&amp;O197&amp;";Custom4#"&amp;P197&amp;"")</f>
        <v>#Invalid Syntax</v>
      </c>
      <c r="E197" s="216">
        <f>SUMIFS('Investment Analysis'!$H$22:$H$69,'Investment Analysis'!$E$22:$E$69,"Commingled Funds",'Investment Analysis'!$AI$22:$AI$69,"15")</f>
        <v>0</v>
      </c>
      <c r="F197" s="217" t="s">
        <v>674</v>
      </c>
      <c r="G197" s="217" t="str">
        <f t="shared" si="68"/>
        <v xml:space="preserve">Inv. Analysis - Credit Quality Risk - Commingled Funds                                          </v>
      </c>
      <c r="H197" s="218" t="e">
        <f t="shared" si="69"/>
        <v>#N/A</v>
      </c>
      <c r="I197" s="218" t="str">
        <f t="shared" si="69"/>
        <v>Jun</v>
      </c>
      <c r="J197" s="217" t="str">
        <f t="shared" si="69"/>
        <v>FY25</v>
      </c>
      <c r="K197" s="217" t="str">
        <f t="shared" si="69"/>
        <v>FCCS_Other Data</v>
      </c>
      <c r="L197" s="217" t="str">
        <f t="shared" si="69"/>
        <v>FCCS_No Intercompany</v>
      </c>
      <c r="M197" s="217" t="str">
        <f t="shared" si="70"/>
        <v>No Custom1</v>
      </c>
      <c r="N197" s="217" t="str">
        <f t="shared" si="69"/>
        <v>No Custom2</v>
      </c>
      <c r="O197" s="217" t="s">
        <v>727</v>
      </c>
      <c r="P197" s="217" t="s">
        <v>874</v>
      </c>
      <c r="Q197" s="217" t="str">
        <f t="shared" si="71"/>
        <v>FCCS_ClosingBalance_Input</v>
      </c>
      <c r="R197" s="217" t="str">
        <f t="shared" si="72"/>
        <v>Actual</v>
      </c>
      <c r="S197" s="217" t="str">
        <f t="shared" si="72"/>
        <v>FCCS_YTD_Input</v>
      </c>
      <c r="T197" s="217" t="s">
        <v>850</v>
      </c>
    </row>
    <row r="198" spans="2:20" x14ac:dyDescent="0.3">
      <c r="B198" s="214" t="s">
        <v>667</v>
      </c>
      <c r="C198" s="214" t="s">
        <v>870</v>
      </c>
      <c r="D198" s="216" t="str">
        <f>[2]!HsSetValue(E198,"FCC","Scenario#"&amp;R198&amp;";Years#"&amp;J198&amp;";Period#"&amp;I198&amp;";View#"&amp;S198&amp;";Entity#"&amp;H198&amp;";Data Source#"&amp;K198&amp;";Account#"&amp;F198&amp;";Intercompany#"&amp;L198&amp;";Movement#"&amp;Q198&amp;";Consolidation#"&amp;T198&amp;";Custom1#"&amp;M198&amp;";Custom2#"&amp;N198&amp;";Custom3#"&amp;O198&amp;";Custom4#"&amp;P198&amp;"")</f>
        <v>#Invalid Syntax</v>
      </c>
      <c r="E198" s="216">
        <f>SUMIFS('Investment Analysis'!$H$22:$H$69,'Investment Analysis'!$E$22:$E$69,"Commingled Funds",'Investment Analysis'!$AI$22:$AI$69,"14")</f>
        <v>0</v>
      </c>
      <c r="F198" s="217" t="s">
        <v>674</v>
      </c>
      <c r="G198" s="217" t="str">
        <f t="shared" si="68"/>
        <v xml:space="preserve">Inv. Analysis - Credit Quality Risk - Commingled Funds                                          </v>
      </c>
      <c r="H198" s="218" t="e">
        <f t="shared" si="69"/>
        <v>#N/A</v>
      </c>
      <c r="I198" s="218" t="str">
        <f t="shared" si="69"/>
        <v>Jun</v>
      </c>
      <c r="J198" s="217" t="str">
        <f t="shared" si="69"/>
        <v>FY25</v>
      </c>
      <c r="K198" s="217" t="str">
        <f t="shared" si="69"/>
        <v>FCCS_Other Data</v>
      </c>
      <c r="L198" s="217" t="str">
        <f t="shared" si="69"/>
        <v>FCCS_No Intercompany</v>
      </c>
      <c r="M198" s="217" t="str">
        <f t="shared" si="70"/>
        <v>No Custom1</v>
      </c>
      <c r="N198" s="217" t="str">
        <f t="shared" si="69"/>
        <v>No Custom2</v>
      </c>
      <c r="O198" s="217" t="s">
        <v>728</v>
      </c>
      <c r="P198" s="217" t="s">
        <v>874</v>
      </c>
      <c r="Q198" s="217" t="str">
        <f t="shared" si="71"/>
        <v>FCCS_ClosingBalance_Input</v>
      </c>
      <c r="R198" s="217" t="str">
        <f t="shared" si="72"/>
        <v>Actual</v>
      </c>
      <c r="S198" s="217" t="str">
        <f t="shared" si="72"/>
        <v>FCCS_YTD_Input</v>
      </c>
      <c r="T198" s="217" t="s">
        <v>850</v>
      </c>
    </row>
    <row r="199" spans="2:20" x14ac:dyDescent="0.3">
      <c r="B199" s="214" t="s">
        <v>667</v>
      </c>
      <c r="C199" s="214" t="s">
        <v>870</v>
      </c>
      <c r="D199" s="216" t="str">
        <f>[2]!HsSetValue(E199,"FCC","Scenario#"&amp;R199&amp;";Years#"&amp;J199&amp;";Period#"&amp;I199&amp;";View#"&amp;S199&amp;";Entity#"&amp;H199&amp;";Data Source#"&amp;K199&amp;";Account#"&amp;F199&amp;";Intercompany#"&amp;L199&amp;";Movement#"&amp;Q199&amp;";Consolidation#"&amp;T199&amp;";Custom1#"&amp;M199&amp;";Custom2#"&amp;N199&amp;";Custom3#"&amp;O199&amp;";Custom4#"&amp;P199&amp;"")</f>
        <v>#Invalid Syntax</v>
      </c>
      <c r="E199" s="216">
        <f>SUMIFS('Investment Analysis'!$H$22:$H$69,'Investment Analysis'!$E$22:$E$69,"Commingled Funds",'Investment Analysis'!$AB$22:$AB$69,"0")+SUMIFS('Investment Analysis'!$H$22:$H$69,'Investment Analysis'!$E$22:$E$69,"Commingled Funds",'Investment Analysis'!$AI$22:$AI$69,"0")</f>
        <v>0</v>
      </c>
      <c r="F199" s="217" t="s">
        <v>674</v>
      </c>
      <c r="G199" s="217" t="str">
        <f t="shared" si="68"/>
        <v xml:space="preserve">Inv. Analysis - Credit Quality Risk - Commingled Funds                                          </v>
      </c>
      <c r="H199" s="218" t="e">
        <f t="shared" si="69"/>
        <v>#N/A</v>
      </c>
      <c r="I199" s="218" t="str">
        <f t="shared" si="69"/>
        <v>Jun</v>
      </c>
      <c r="J199" s="217" t="str">
        <f t="shared" si="69"/>
        <v>FY25</v>
      </c>
      <c r="K199" s="217" t="str">
        <f t="shared" si="69"/>
        <v>FCCS_Other Data</v>
      </c>
      <c r="L199" s="217" t="str">
        <f t="shared" si="69"/>
        <v>FCCS_No Intercompany</v>
      </c>
      <c r="M199" s="217" t="str">
        <f t="shared" si="70"/>
        <v>No Custom1</v>
      </c>
      <c r="N199" s="217" t="str">
        <f t="shared" si="69"/>
        <v>No Custom2</v>
      </c>
      <c r="O199" s="217" t="s">
        <v>609</v>
      </c>
      <c r="P199" s="217" t="s">
        <v>874</v>
      </c>
      <c r="Q199" s="217" t="str">
        <f t="shared" si="71"/>
        <v>FCCS_ClosingBalance_Input</v>
      </c>
      <c r="R199" s="217" t="str">
        <f t="shared" si="72"/>
        <v>Actual</v>
      </c>
      <c r="S199" s="217" t="str">
        <f t="shared" si="72"/>
        <v>FCCS_YTD_Input</v>
      </c>
      <c r="T199" s="217" t="s">
        <v>850</v>
      </c>
    </row>
    <row r="200" spans="2:20" x14ac:dyDescent="0.3">
      <c r="B200" s="210"/>
      <c r="C200" s="210"/>
      <c r="D200" s="212"/>
      <c r="E200" s="212"/>
    </row>
    <row r="201" spans="2:20" x14ac:dyDescent="0.3">
      <c r="B201" s="219" t="s">
        <v>1014</v>
      </c>
      <c r="C201" s="219" t="s">
        <v>870</v>
      </c>
      <c r="D201" s="221" t="str">
        <f>[2]!HsSetValue(E201,"FCC","Scenario#"&amp;R201&amp;";Years#"&amp;J201&amp;";Period#"&amp;I201&amp;";View#"&amp;S201&amp;";Entity#"&amp;H201&amp;";Data Source#"&amp;K201&amp;";Account#"&amp;F201&amp;";Intercompany#"&amp;L201&amp;";Movement#"&amp;Q201&amp;";Consolidation#"&amp;T201&amp;";Custom1#"&amp;M201&amp;";Custom2#"&amp;N201&amp;";Custom3#"&amp;O201&amp;";Custom4#"&amp;P201&amp;"")</f>
        <v>#Invalid Syntax</v>
      </c>
      <c r="E201" s="221">
        <f>SUMIFS('Investment Analysis'!$H$22:$H$69,'Investment Analysis'!$E$22:$E$69,"Commingled Funds",'Investment Analysis'!$AK$22:$AK$69,"21")</f>
        <v>0</v>
      </c>
      <c r="F201" s="222" t="s">
        <v>675</v>
      </c>
      <c r="G201" s="222" t="str">
        <f>"Inv. Analysis -  FV Measurement - "&amp;C201</f>
        <v xml:space="preserve">Inv. Analysis -  FV Measurement - Commingled Funds                                          </v>
      </c>
      <c r="H201" s="223" t="e">
        <f>+H$2</f>
        <v>#N/A</v>
      </c>
      <c r="I201" s="223" t="str">
        <f t="shared" ref="I201:I205" si="73">+I$2</f>
        <v>Jun</v>
      </c>
      <c r="J201" s="222" t="str">
        <f>+J$2</f>
        <v>FY25</v>
      </c>
      <c r="K201" s="222" t="s">
        <v>843</v>
      </c>
      <c r="L201" s="222" t="s">
        <v>844</v>
      </c>
      <c r="M201" s="222" t="s">
        <v>845</v>
      </c>
      <c r="N201" s="222" t="s">
        <v>846</v>
      </c>
      <c r="O201" s="222" t="s">
        <v>729</v>
      </c>
      <c r="P201" s="222" t="s">
        <v>874</v>
      </c>
      <c r="Q201" s="222" t="str">
        <f t="shared" ref="Q201:Q205" si="74">Q$2</f>
        <v>FCCS_ClosingBalance_Input</v>
      </c>
      <c r="R201" s="222" t="s">
        <v>169</v>
      </c>
      <c r="S201" s="222" t="s">
        <v>848</v>
      </c>
      <c r="T201" s="222" t="s">
        <v>850</v>
      </c>
    </row>
    <row r="202" spans="2:20" x14ac:dyDescent="0.3">
      <c r="B202" s="219" t="s">
        <v>1014</v>
      </c>
      <c r="C202" s="219" t="s">
        <v>870</v>
      </c>
      <c r="D202" s="221" t="str">
        <f>[2]!HsSetValue(E202,"FCC","Scenario#"&amp;R202&amp;";Years#"&amp;J202&amp;";Period#"&amp;I202&amp;";View#"&amp;S202&amp;";Entity#"&amp;H202&amp;";Data Source#"&amp;K202&amp;";Account#"&amp;F202&amp;";Intercompany#"&amp;L202&amp;";Movement#"&amp;Q202&amp;";Consolidation#"&amp;T202&amp;";Custom1#"&amp;M202&amp;";Custom2#"&amp;N202&amp;";Custom3#"&amp;O202&amp;";Custom4#"&amp;P202&amp;"")</f>
        <v>#Invalid Syntax</v>
      </c>
      <c r="E202" s="221">
        <f>SUMIFS('Investment Analysis'!$H$22:$H$69,'Investment Analysis'!$E$22:$E$69,"Commingled Funds",'Investment Analysis'!$AK$22:$AK$69,"22")</f>
        <v>0</v>
      </c>
      <c r="F202" s="222" t="s">
        <v>675</v>
      </c>
      <c r="G202" s="222" t="str">
        <f>"Inv. Analysis -  FV Measurement - "&amp;C202</f>
        <v xml:space="preserve">Inv. Analysis -  FV Measurement - Commingled Funds                                          </v>
      </c>
      <c r="H202" s="223" t="e">
        <f>+H$2</f>
        <v>#N/A</v>
      </c>
      <c r="I202" s="223" t="str">
        <f t="shared" si="73"/>
        <v>Jun</v>
      </c>
      <c r="J202" s="222" t="str">
        <f>+J$2</f>
        <v>FY25</v>
      </c>
      <c r="K202" s="222" t="str">
        <f t="shared" ref="K202:N205" si="75">+K$2</f>
        <v>FCCS_Other Data</v>
      </c>
      <c r="L202" s="222" t="str">
        <f t="shared" si="75"/>
        <v>FCCS_No Intercompany</v>
      </c>
      <c r="M202" s="222" t="str">
        <f>+M$1</f>
        <v>No Custom1</v>
      </c>
      <c r="N202" s="222" t="str">
        <f t="shared" si="75"/>
        <v>No Custom2</v>
      </c>
      <c r="O202" s="222" t="s">
        <v>730</v>
      </c>
      <c r="P202" s="222" t="s">
        <v>874</v>
      </c>
      <c r="Q202" s="222" t="str">
        <f t="shared" si="74"/>
        <v>FCCS_ClosingBalance_Input</v>
      </c>
      <c r="R202" s="222" t="str">
        <f t="shared" ref="R202:S205" si="76">+R$2</f>
        <v>Actual</v>
      </c>
      <c r="S202" s="222" t="str">
        <f t="shared" si="76"/>
        <v>FCCS_YTD_Input</v>
      </c>
      <c r="T202" s="222" t="s">
        <v>850</v>
      </c>
    </row>
    <row r="203" spans="2:20" x14ac:dyDescent="0.3">
      <c r="B203" s="219" t="s">
        <v>1014</v>
      </c>
      <c r="C203" s="219" t="s">
        <v>870</v>
      </c>
      <c r="D203" s="221" t="str">
        <f>[2]!HsSetValue(E203,"FCC","Scenario#"&amp;R203&amp;";Years#"&amp;J203&amp;";Period#"&amp;I203&amp;";View#"&amp;S203&amp;";Entity#"&amp;H203&amp;";Data Source#"&amp;K203&amp;";Account#"&amp;F203&amp;";Intercompany#"&amp;L203&amp;";Movement#"&amp;Q203&amp;";Consolidation#"&amp;T203&amp;";Custom1#"&amp;M203&amp;";Custom2#"&amp;N203&amp;";Custom3#"&amp;O203&amp;";Custom4#"&amp;P203&amp;"")</f>
        <v>#Invalid Syntax</v>
      </c>
      <c r="E203" s="221">
        <f>SUMIFS('Investment Analysis'!$H$22:$H$69,'Investment Analysis'!$E$22:$E$69,"Commingled Funds",'Investment Analysis'!$AK$22:$AK$69,"23")</f>
        <v>0</v>
      </c>
      <c r="F203" s="222" t="s">
        <v>675</v>
      </c>
      <c r="G203" s="222" t="str">
        <f>"Inv. Analysis -  FV Measurement - "&amp;C203</f>
        <v xml:space="preserve">Inv. Analysis -  FV Measurement - Commingled Funds                                          </v>
      </c>
      <c r="H203" s="223" t="e">
        <f>+H$2</f>
        <v>#N/A</v>
      </c>
      <c r="I203" s="223" t="str">
        <f t="shared" si="73"/>
        <v>Jun</v>
      </c>
      <c r="J203" s="222" t="str">
        <f>+J$2</f>
        <v>FY25</v>
      </c>
      <c r="K203" s="222" t="str">
        <f t="shared" si="75"/>
        <v>FCCS_Other Data</v>
      </c>
      <c r="L203" s="222" t="str">
        <f t="shared" si="75"/>
        <v>FCCS_No Intercompany</v>
      </c>
      <c r="M203" s="222" t="str">
        <f>+M$1</f>
        <v>No Custom1</v>
      </c>
      <c r="N203" s="222" t="str">
        <f t="shared" si="75"/>
        <v>No Custom2</v>
      </c>
      <c r="O203" s="222" t="s">
        <v>731</v>
      </c>
      <c r="P203" s="222" t="s">
        <v>874</v>
      </c>
      <c r="Q203" s="222" t="str">
        <f t="shared" si="74"/>
        <v>FCCS_ClosingBalance_Input</v>
      </c>
      <c r="R203" s="222" t="str">
        <f t="shared" si="76"/>
        <v>Actual</v>
      </c>
      <c r="S203" s="222" t="str">
        <f t="shared" si="76"/>
        <v>FCCS_YTD_Input</v>
      </c>
      <c r="T203" s="222" t="s">
        <v>850</v>
      </c>
    </row>
    <row r="204" spans="2:20" x14ac:dyDescent="0.3">
      <c r="B204" s="219" t="s">
        <v>1014</v>
      </c>
      <c r="C204" s="219" t="s">
        <v>870</v>
      </c>
      <c r="D204" s="221" t="str">
        <f>[2]!HsSetValue(E204,"FCC","Scenario#"&amp;R204&amp;";Years#"&amp;J204&amp;";Period#"&amp;I204&amp;";View#"&amp;S204&amp;";Entity#"&amp;H204&amp;";Data Source#"&amp;K204&amp;";Account#"&amp;F204&amp;";Intercompany#"&amp;L204&amp;";Movement#"&amp;Q204&amp;";Consolidation#"&amp;T204&amp;";Custom1#"&amp;M204&amp;";Custom2#"&amp;N204&amp;";Custom3#"&amp;O204&amp;";Custom4#"&amp;P204&amp;"")</f>
        <v>#Invalid Syntax</v>
      </c>
      <c r="E204" s="221">
        <f>SUMIFS('Investment Analysis'!$H$22:$H$69,'Investment Analysis'!$E$22:$E$69,"Commingled Funds",'Investment Analysis'!$AK$22:$AK$69,"24")</f>
        <v>0</v>
      </c>
      <c r="F204" s="222" t="s">
        <v>675</v>
      </c>
      <c r="G204" s="222" t="str">
        <f>"Inv. Analysis -  FV Measurement - "&amp;C204</f>
        <v xml:space="preserve">Inv. Analysis -  FV Measurement - Commingled Funds                                          </v>
      </c>
      <c r="H204" s="223" t="e">
        <f>+H$2</f>
        <v>#N/A</v>
      </c>
      <c r="I204" s="223" t="str">
        <f t="shared" si="73"/>
        <v>Jun</v>
      </c>
      <c r="J204" s="222" t="str">
        <f>+J$2</f>
        <v>FY25</v>
      </c>
      <c r="K204" s="222" t="str">
        <f t="shared" si="75"/>
        <v>FCCS_Other Data</v>
      </c>
      <c r="L204" s="222" t="str">
        <f t="shared" si="75"/>
        <v>FCCS_No Intercompany</v>
      </c>
      <c r="M204" s="222" t="str">
        <f>+M$1</f>
        <v>No Custom1</v>
      </c>
      <c r="N204" s="222" t="str">
        <f t="shared" si="75"/>
        <v>No Custom2</v>
      </c>
      <c r="O204" s="222" t="s">
        <v>732</v>
      </c>
      <c r="P204" s="222" t="s">
        <v>874</v>
      </c>
      <c r="Q204" s="222" t="str">
        <f t="shared" si="74"/>
        <v>FCCS_ClosingBalance_Input</v>
      </c>
      <c r="R204" s="222" t="str">
        <f t="shared" si="76"/>
        <v>Actual</v>
      </c>
      <c r="S204" s="222" t="str">
        <f t="shared" si="76"/>
        <v>FCCS_YTD_Input</v>
      </c>
      <c r="T204" s="222" t="s">
        <v>850</v>
      </c>
    </row>
    <row r="205" spans="2:20" x14ac:dyDescent="0.3">
      <c r="B205" s="219" t="s">
        <v>1014</v>
      </c>
      <c r="C205" s="219" t="s">
        <v>870</v>
      </c>
      <c r="D205" s="221" t="str">
        <f>[2]!HsSetValue(E205,"FCC","Scenario#"&amp;R205&amp;";Years#"&amp;J205&amp;";Period#"&amp;I205&amp;";View#"&amp;S205&amp;";Entity#"&amp;H205&amp;";Data Source#"&amp;K205&amp;";Account#"&amp;F205&amp;";Intercompany#"&amp;L205&amp;";Movement#"&amp;Q205&amp;";Consolidation#"&amp;T205&amp;";Custom1#"&amp;M205&amp;";Custom2#"&amp;N205&amp;";Custom3#"&amp;O205&amp;";Custom4#"&amp;P205&amp;"")</f>
        <v>#Invalid Syntax</v>
      </c>
      <c r="E205" s="221">
        <f>SUMIFS('Investment Analysis'!$H$22:$H$69,'Investment Analysis'!$E$22:$E$69,"Commingled Funds",'Investment Analysis'!$AK$22:$AK$69,"25")</f>
        <v>0</v>
      </c>
      <c r="F205" s="222" t="s">
        <v>675</v>
      </c>
      <c r="G205" s="222" t="str">
        <f>"Inv. Analysis -  FV Measurement - "&amp;C205</f>
        <v xml:space="preserve">Inv. Analysis -  FV Measurement - Commingled Funds                                          </v>
      </c>
      <c r="H205" s="223" t="e">
        <f>+H$2</f>
        <v>#N/A</v>
      </c>
      <c r="I205" s="223" t="str">
        <f t="shared" si="73"/>
        <v>Jun</v>
      </c>
      <c r="J205" s="222" t="str">
        <f>+J$2</f>
        <v>FY25</v>
      </c>
      <c r="K205" s="222" t="str">
        <f t="shared" si="75"/>
        <v>FCCS_Other Data</v>
      </c>
      <c r="L205" s="222" t="str">
        <f t="shared" si="75"/>
        <v>FCCS_No Intercompany</v>
      </c>
      <c r="M205" s="222" t="str">
        <f>+M$1</f>
        <v>No Custom1</v>
      </c>
      <c r="N205" s="222" t="str">
        <f t="shared" si="75"/>
        <v>No Custom2</v>
      </c>
      <c r="O205" s="222" t="s">
        <v>733</v>
      </c>
      <c r="P205" s="222" t="s">
        <v>874</v>
      </c>
      <c r="Q205" s="222" t="str">
        <f t="shared" si="74"/>
        <v>FCCS_ClosingBalance_Input</v>
      </c>
      <c r="R205" s="222" t="str">
        <f t="shared" si="76"/>
        <v>Actual</v>
      </c>
      <c r="S205" s="222" t="str">
        <f t="shared" si="76"/>
        <v>FCCS_YTD_Input</v>
      </c>
      <c r="T205" s="222" t="s">
        <v>850</v>
      </c>
    </row>
    <row r="206" spans="2:20" outlineLevel="1" x14ac:dyDescent="0.3"/>
    <row r="207" spans="2:20" x14ac:dyDescent="0.3">
      <c r="B207" s="364" t="s">
        <v>668</v>
      </c>
      <c r="C207" s="365" t="s">
        <v>420</v>
      </c>
      <c r="D207" s="366" t="str">
        <f>[2]!HsSetValue(E207,"FCC","Scenario#"&amp;R207&amp;";Years#"&amp;J207&amp;";Period#"&amp;I207&amp;";View#"&amp;S207&amp;";Entity#"&amp;H207&amp;";Data Source#"&amp;K207&amp;";Account#"&amp;F207&amp;";Intercompany#"&amp;L207&amp;";Movement#"&amp;Q207&amp;";Consolidation#"&amp;T207&amp;";Custom1#"&amp;M207&amp;";Custom2#"&amp;N207&amp;";Custom3#"&amp;O207&amp;";Custom4#"&amp;P207&amp;"")</f>
        <v>#Invalid Syntax</v>
      </c>
      <c r="E207" s="366">
        <f>SUMIF('Investment Analysis'!$E$22:$E$69,'FCC Investments - Load Tab'!C207,'Investment Analysis'!$K$22:$K$69)</f>
        <v>0</v>
      </c>
      <c r="F207" s="367" t="s">
        <v>673</v>
      </c>
      <c r="G207" s="367" t="s">
        <v>688</v>
      </c>
      <c r="H207" s="368" t="e">
        <f>+H$2</f>
        <v>#N/A</v>
      </c>
      <c r="I207" s="368" t="str">
        <f t="shared" ref="I207:I211" si="77">+I$2</f>
        <v>Jun</v>
      </c>
      <c r="J207" s="367" t="str">
        <f>+J$2</f>
        <v>FY25</v>
      </c>
      <c r="K207" s="367" t="s">
        <v>843</v>
      </c>
      <c r="L207" s="367" t="s">
        <v>844</v>
      </c>
      <c r="M207" s="367" t="s">
        <v>845</v>
      </c>
      <c r="N207" s="367" t="s">
        <v>846</v>
      </c>
      <c r="O207" s="367" t="s">
        <v>721</v>
      </c>
      <c r="P207" s="367" t="s">
        <v>566</v>
      </c>
      <c r="Q207" s="367" t="str">
        <f t="shared" ref="Q207:Q211" si="78">Q$2</f>
        <v>FCCS_ClosingBalance_Input</v>
      </c>
      <c r="R207" s="367" t="s">
        <v>169</v>
      </c>
      <c r="S207" s="367" t="s">
        <v>848</v>
      </c>
      <c r="T207" s="367" t="s">
        <v>850</v>
      </c>
    </row>
    <row r="208" spans="2:20" x14ac:dyDescent="0.3">
      <c r="B208" s="364" t="s">
        <v>668</v>
      </c>
      <c r="C208" s="365" t="s">
        <v>420</v>
      </c>
      <c r="D208" s="366" t="str">
        <f>[2]!HsSetValue(E208,"FCC","Scenario#"&amp;R208&amp;";Years#"&amp;J208&amp;";Period#"&amp;I208&amp;";View#"&amp;S208&amp;";Entity#"&amp;H208&amp;";Data Source#"&amp;K208&amp;";Account#"&amp;F208&amp;";Intercompany#"&amp;L208&amp;";Movement#"&amp;Q208&amp;";Consolidation#"&amp;T208&amp;";Custom1#"&amp;M208&amp;";Custom2#"&amp;N208&amp;";Custom3#"&amp;O208&amp;";Custom4#"&amp;P208&amp;"")</f>
        <v>#Invalid Syntax</v>
      </c>
      <c r="E208" s="366">
        <f>SUMIF('Investment Analysis'!$E$22:$E$69,'FCC Investments - Load Tab'!C207,'Investment Analysis'!$L$22:$L$69)</f>
        <v>0</v>
      </c>
      <c r="F208" s="367" t="s">
        <v>673</v>
      </c>
      <c r="G208" s="367" t="s">
        <v>688</v>
      </c>
      <c r="H208" s="368" t="e">
        <f>+H$2</f>
        <v>#N/A</v>
      </c>
      <c r="I208" s="368" t="str">
        <f t="shared" si="77"/>
        <v>Jun</v>
      </c>
      <c r="J208" s="367" t="str">
        <f>+J$2</f>
        <v>FY25</v>
      </c>
      <c r="K208" s="367" t="str">
        <f t="shared" ref="K208:N211" si="79">+K$2</f>
        <v>FCCS_Other Data</v>
      </c>
      <c r="L208" s="367" t="str">
        <f t="shared" si="79"/>
        <v>FCCS_No Intercompany</v>
      </c>
      <c r="M208" s="367" t="str">
        <f>+M$1</f>
        <v>No Custom1</v>
      </c>
      <c r="N208" s="367" t="str">
        <f t="shared" si="79"/>
        <v>No Custom2</v>
      </c>
      <c r="O208" s="367" t="s">
        <v>722</v>
      </c>
      <c r="P208" s="367" t="s">
        <v>566</v>
      </c>
      <c r="Q208" s="367" t="str">
        <f t="shared" si="78"/>
        <v>FCCS_ClosingBalance_Input</v>
      </c>
      <c r="R208" s="367" t="str">
        <f t="shared" ref="R208:S211" si="80">+R$2</f>
        <v>Actual</v>
      </c>
      <c r="S208" s="367" t="str">
        <f t="shared" si="80"/>
        <v>FCCS_YTD_Input</v>
      </c>
      <c r="T208" s="367" t="s">
        <v>850</v>
      </c>
    </row>
    <row r="209" spans="2:20" x14ac:dyDescent="0.3">
      <c r="B209" s="364" t="s">
        <v>668</v>
      </c>
      <c r="C209" s="365" t="s">
        <v>420</v>
      </c>
      <c r="D209" s="366" t="str">
        <f>[2]!HsSetValue(E209,"FCC","Scenario#"&amp;R209&amp;";Years#"&amp;J209&amp;";Period#"&amp;I209&amp;";View#"&amp;S209&amp;";Entity#"&amp;H209&amp;";Data Source#"&amp;K209&amp;";Account#"&amp;F209&amp;";Intercompany#"&amp;L209&amp;";Movement#"&amp;Q209&amp;";Consolidation#"&amp;T209&amp;";Custom1#"&amp;M209&amp;";Custom2#"&amp;N209&amp;";Custom3#"&amp;O209&amp;";Custom4#"&amp;P209&amp;"")</f>
        <v>#Invalid Syntax</v>
      </c>
      <c r="E209" s="366">
        <f>SUMIF('Investment Analysis'!$E$22:$E$69,'FCC Investments - Load Tab'!C207,'Investment Analysis'!$M$22:$M$69)</f>
        <v>0</v>
      </c>
      <c r="F209" s="367" t="s">
        <v>673</v>
      </c>
      <c r="G209" s="367" t="s">
        <v>688</v>
      </c>
      <c r="H209" s="368" t="e">
        <f>+H$2</f>
        <v>#N/A</v>
      </c>
      <c r="I209" s="368" t="str">
        <f t="shared" si="77"/>
        <v>Jun</v>
      </c>
      <c r="J209" s="367" t="str">
        <f>+J$2</f>
        <v>FY25</v>
      </c>
      <c r="K209" s="367" t="str">
        <f t="shared" si="79"/>
        <v>FCCS_Other Data</v>
      </c>
      <c r="L209" s="367" t="str">
        <f t="shared" si="79"/>
        <v>FCCS_No Intercompany</v>
      </c>
      <c r="M209" s="367" t="str">
        <f>+M$1</f>
        <v>No Custom1</v>
      </c>
      <c r="N209" s="367" t="str">
        <f t="shared" si="79"/>
        <v>No Custom2</v>
      </c>
      <c r="O209" s="367" t="s">
        <v>723</v>
      </c>
      <c r="P209" s="367" t="s">
        <v>566</v>
      </c>
      <c r="Q209" s="367" t="str">
        <f t="shared" si="78"/>
        <v>FCCS_ClosingBalance_Input</v>
      </c>
      <c r="R209" s="367" t="str">
        <f t="shared" si="80"/>
        <v>Actual</v>
      </c>
      <c r="S209" s="367" t="str">
        <f t="shared" si="80"/>
        <v>FCCS_YTD_Input</v>
      </c>
      <c r="T209" s="367" t="s">
        <v>850</v>
      </c>
    </row>
    <row r="210" spans="2:20" x14ac:dyDescent="0.3">
      <c r="B210" s="364" t="s">
        <v>668</v>
      </c>
      <c r="C210" s="365" t="s">
        <v>420</v>
      </c>
      <c r="D210" s="366" t="str">
        <f>[2]!HsSetValue(E210,"FCC","Scenario#"&amp;R210&amp;";Years#"&amp;J210&amp;";Period#"&amp;I210&amp;";View#"&amp;S210&amp;";Entity#"&amp;H210&amp;";Data Source#"&amp;K210&amp;";Account#"&amp;F210&amp;";Intercompany#"&amp;L210&amp;";Movement#"&amp;Q210&amp;";Consolidation#"&amp;T210&amp;";Custom1#"&amp;M210&amp;";Custom2#"&amp;N210&amp;";Custom3#"&amp;O210&amp;";Custom4#"&amp;P210&amp;"")</f>
        <v>#Invalid Syntax</v>
      </c>
      <c r="E210" s="366">
        <f>SUMIF('Investment Analysis'!$E$22:$E$69,'FCC Investments - Load Tab'!C210,'Investment Analysis'!$N$22:$N$69)</f>
        <v>0</v>
      </c>
      <c r="F210" s="367" t="s">
        <v>673</v>
      </c>
      <c r="G210" s="367" t="s">
        <v>688</v>
      </c>
      <c r="H210" s="368" t="e">
        <f>+H$2</f>
        <v>#N/A</v>
      </c>
      <c r="I210" s="368" t="str">
        <f t="shared" si="77"/>
        <v>Jun</v>
      </c>
      <c r="J210" s="367" t="str">
        <f>+J$2</f>
        <v>FY25</v>
      </c>
      <c r="K210" s="367" t="str">
        <f t="shared" si="79"/>
        <v>FCCS_Other Data</v>
      </c>
      <c r="L210" s="367" t="str">
        <f t="shared" si="79"/>
        <v>FCCS_No Intercompany</v>
      </c>
      <c r="M210" s="367" t="str">
        <f>+M$1</f>
        <v>No Custom1</v>
      </c>
      <c r="N210" s="367" t="str">
        <f t="shared" si="79"/>
        <v>No Custom2</v>
      </c>
      <c r="O210" s="367" t="s">
        <v>724</v>
      </c>
      <c r="P210" s="367" t="s">
        <v>566</v>
      </c>
      <c r="Q210" s="367" t="str">
        <f t="shared" si="78"/>
        <v>FCCS_ClosingBalance_Input</v>
      </c>
      <c r="R210" s="367" t="str">
        <f t="shared" si="80"/>
        <v>Actual</v>
      </c>
      <c r="S210" s="367" t="str">
        <f t="shared" si="80"/>
        <v>FCCS_YTD_Input</v>
      </c>
      <c r="T210" s="367" t="s">
        <v>850</v>
      </c>
    </row>
    <row r="211" spans="2:20" x14ac:dyDescent="0.3">
      <c r="B211" s="364" t="s">
        <v>668</v>
      </c>
      <c r="C211" s="365" t="s">
        <v>420</v>
      </c>
      <c r="D211" s="366" t="str">
        <f>[2]!HsSetValue(E211,"FCC","Scenario#"&amp;R211&amp;";Years#"&amp;J211&amp;";Period#"&amp;I211&amp;";View#"&amp;S211&amp;";Entity#"&amp;H211&amp;";Data Source#"&amp;K211&amp;";Account#"&amp;F211&amp;";Intercompany#"&amp;L211&amp;";Movement#"&amp;Q211&amp;";Consolidation#"&amp;T211&amp;";Custom1#"&amp;M211&amp;";Custom2#"&amp;N211&amp;";Custom3#"&amp;O211&amp;";Custom4#"&amp;P211&amp;"")</f>
        <v>#Invalid Syntax</v>
      </c>
      <c r="E211" s="366">
        <f>SUMIF('Investment Analysis'!$E$2:$E$69,'FCC Investments - Load Tab'!C211,'Investment Analysis'!$O$2:$O$69)</f>
        <v>0</v>
      </c>
      <c r="F211" s="367" t="s">
        <v>673</v>
      </c>
      <c r="G211" s="367" t="s">
        <v>688</v>
      </c>
      <c r="H211" s="368" t="e">
        <f>+H$2</f>
        <v>#N/A</v>
      </c>
      <c r="I211" s="368" t="str">
        <f t="shared" si="77"/>
        <v>Jun</v>
      </c>
      <c r="J211" s="367" t="str">
        <f>+J$2</f>
        <v>FY25</v>
      </c>
      <c r="K211" s="367" t="str">
        <f t="shared" si="79"/>
        <v>FCCS_Other Data</v>
      </c>
      <c r="L211" s="367" t="str">
        <f t="shared" si="79"/>
        <v>FCCS_No Intercompany</v>
      </c>
      <c r="M211" s="367" t="str">
        <f>+M$1</f>
        <v>No Custom1</v>
      </c>
      <c r="N211" s="367" t="str">
        <f t="shared" si="79"/>
        <v>No Custom2</v>
      </c>
      <c r="O211" s="367" t="s">
        <v>725</v>
      </c>
      <c r="P211" s="367" t="s">
        <v>566</v>
      </c>
      <c r="Q211" s="367" t="str">
        <f t="shared" si="78"/>
        <v>FCCS_ClosingBalance_Input</v>
      </c>
      <c r="R211" s="367" t="str">
        <f t="shared" si="80"/>
        <v>Actual</v>
      </c>
      <c r="S211" s="367" t="str">
        <f t="shared" si="80"/>
        <v>FCCS_YTD_Input</v>
      </c>
      <c r="T211" s="367" t="s">
        <v>850</v>
      </c>
    </row>
    <row r="212" spans="2:20" x14ac:dyDescent="0.3">
      <c r="B212" s="210"/>
      <c r="C212" s="211"/>
      <c r="D212" s="212"/>
      <c r="E212" s="212"/>
    </row>
    <row r="213" spans="2:20" x14ac:dyDescent="0.3">
      <c r="B213" s="214" t="s">
        <v>667</v>
      </c>
      <c r="C213" s="215" t="s">
        <v>420</v>
      </c>
      <c r="D213" s="216" t="str">
        <f>[2]!HsSetValue(E213,"FCC","Scenario#"&amp;R213&amp;";Years#"&amp;J213&amp;";Period#"&amp;I213&amp;";View#"&amp;S213&amp;";Entity#"&amp;H213&amp;";Data Source#"&amp;K213&amp;";Account#"&amp;F213&amp;";Intercompany#"&amp;L213&amp;";Movement#"&amp;Q213&amp;";Consolidation#"&amp;T213&amp;";Custom1#"&amp;M213&amp;";Custom2#"&amp;N213&amp;";Custom3#"&amp;O213&amp;";Custom4#"&amp;P213&amp;"")</f>
        <v>#Invalid Syntax</v>
      </c>
      <c r="E213" s="216">
        <f>SUMIFS('Investment Analysis'!$H$22:$H$69,'Investment Analysis'!$E$22:$E$69,"Corporate Debt-Domestic",'Investment Analysis'!$AB$22:$AB$69,"10")</f>
        <v>0</v>
      </c>
      <c r="F213" s="217" t="s">
        <v>674</v>
      </c>
      <c r="G213" s="217" t="s">
        <v>1049</v>
      </c>
      <c r="H213" s="218" t="e">
        <f t="shared" ref="H213:N226" si="81">+H$2</f>
        <v>#N/A</v>
      </c>
      <c r="I213" s="218" t="str">
        <f t="shared" si="81"/>
        <v>Jun</v>
      </c>
      <c r="J213" s="217" t="str">
        <f t="shared" si="81"/>
        <v>FY25</v>
      </c>
      <c r="K213" s="217" t="str">
        <f t="shared" si="81"/>
        <v>FCCS_Other Data</v>
      </c>
      <c r="L213" s="217" t="str">
        <f t="shared" si="81"/>
        <v>FCCS_No Intercompany</v>
      </c>
      <c r="M213" s="217" t="str">
        <f t="shared" ref="M213:M226" si="82">+M$1</f>
        <v>No Custom1</v>
      </c>
      <c r="N213" s="217" t="str">
        <f t="shared" si="81"/>
        <v>No Custom2</v>
      </c>
      <c r="O213" s="217" t="s">
        <v>433</v>
      </c>
      <c r="P213" s="217" t="s">
        <v>566</v>
      </c>
      <c r="Q213" s="217" t="str">
        <f t="shared" ref="Q213:Q226" si="83">Q$2</f>
        <v>FCCS_ClosingBalance_Input</v>
      </c>
      <c r="R213" s="217" t="str">
        <f t="shared" ref="R213:S226" si="84">+R$2</f>
        <v>Actual</v>
      </c>
      <c r="S213" s="217" t="str">
        <f t="shared" si="84"/>
        <v>FCCS_YTD_Input</v>
      </c>
      <c r="T213" s="217" t="s">
        <v>850</v>
      </c>
    </row>
    <row r="214" spans="2:20" x14ac:dyDescent="0.3">
      <c r="B214" s="214" t="s">
        <v>667</v>
      </c>
      <c r="C214" s="215" t="s">
        <v>420</v>
      </c>
      <c r="D214" s="216" t="str">
        <f>[2]!HsSetValue(E214,"FCC","Scenario#"&amp;R214&amp;";Years#"&amp;J214&amp;";Period#"&amp;I214&amp;";View#"&amp;S214&amp;";Entity#"&amp;H214&amp;";Data Source#"&amp;K214&amp;";Account#"&amp;F214&amp;";Intercompany#"&amp;L214&amp;";Movement#"&amp;Q214&amp;";Consolidation#"&amp;T214&amp;";Custom1#"&amp;M214&amp;";Custom2#"&amp;N214&amp;";Custom3#"&amp;O214&amp;";Custom4#"&amp;P214&amp;"")</f>
        <v>#Invalid Syntax</v>
      </c>
      <c r="E214" s="216">
        <f>SUMIFS('Investment Analysis'!$H$22:$H$69,'Investment Analysis'!$E$22:$E$69,"Corporate Debt-Domestic",'Investment Analysis'!$AB$22:$AB$69,"9")</f>
        <v>0</v>
      </c>
      <c r="F214" s="217" t="s">
        <v>674</v>
      </c>
      <c r="G214" s="217" t="s">
        <v>1049</v>
      </c>
      <c r="H214" s="218" t="e">
        <f t="shared" si="81"/>
        <v>#N/A</v>
      </c>
      <c r="I214" s="218" t="str">
        <f t="shared" si="81"/>
        <v>Jun</v>
      </c>
      <c r="J214" s="217" t="str">
        <f t="shared" si="81"/>
        <v>FY25</v>
      </c>
      <c r="K214" s="217" t="str">
        <f t="shared" si="81"/>
        <v>FCCS_Other Data</v>
      </c>
      <c r="L214" s="217" t="str">
        <f t="shared" si="81"/>
        <v>FCCS_No Intercompany</v>
      </c>
      <c r="M214" s="217" t="str">
        <f t="shared" si="82"/>
        <v>No Custom1</v>
      </c>
      <c r="N214" s="217" t="str">
        <f t="shared" si="81"/>
        <v>No Custom2</v>
      </c>
      <c r="O214" s="217" t="s">
        <v>596</v>
      </c>
      <c r="P214" s="217" t="s">
        <v>566</v>
      </c>
      <c r="Q214" s="217" t="str">
        <f t="shared" si="83"/>
        <v>FCCS_ClosingBalance_Input</v>
      </c>
      <c r="R214" s="217" t="str">
        <f t="shared" si="84"/>
        <v>Actual</v>
      </c>
      <c r="S214" s="217" t="str">
        <f t="shared" si="84"/>
        <v>FCCS_YTD_Input</v>
      </c>
      <c r="T214" s="217" t="s">
        <v>850</v>
      </c>
    </row>
    <row r="215" spans="2:20" x14ac:dyDescent="0.3">
      <c r="B215" s="214" t="s">
        <v>667</v>
      </c>
      <c r="C215" s="215" t="s">
        <v>420</v>
      </c>
      <c r="D215" s="216" t="str">
        <f>[2]!HsSetValue(E215,"FCC","Scenario#"&amp;R215&amp;";Years#"&amp;J215&amp;";Period#"&amp;I215&amp;";View#"&amp;S215&amp;";Entity#"&amp;H215&amp;";Data Source#"&amp;K215&amp;";Account#"&amp;F215&amp;";Intercompany#"&amp;L215&amp;";Movement#"&amp;Q215&amp;";Consolidation#"&amp;T215&amp;";Custom1#"&amp;M215&amp;";Custom2#"&amp;N215&amp;";Custom3#"&amp;O215&amp;";Custom4#"&amp;P215&amp;"")</f>
        <v>#Invalid Syntax</v>
      </c>
      <c r="E215" s="216">
        <f>SUMIFS('Investment Analysis'!$H$22:$H$69,'Investment Analysis'!$E$22:$E$69,"Corporate Debt-Domestic",'Investment Analysis'!$AB$22:$AB$69,"8")</f>
        <v>0</v>
      </c>
      <c r="F215" s="217" t="s">
        <v>674</v>
      </c>
      <c r="G215" s="217" t="s">
        <v>1049</v>
      </c>
      <c r="H215" s="218" t="e">
        <f t="shared" si="81"/>
        <v>#N/A</v>
      </c>
      <c r="I215" s="218" t="str">
        <f t="shared" si="81"/>
        <v>Jun</v>
      </c>
      <c r="J215" s="217" t="str">
        <f t="shared" si="81"/>
        <v>FY25</v>
      </c>
      <c r="K215" s="217" t="str">
        <f t="shared" si="81"/>
        <v>FCCS_Other Data</v>
      </c>
      <c r="L215" s="217" t="str">
        <f t="shared" si="81"/>
        <v>FCCS_No Intercompany</v>
      </c>
      <c r="M215" s="217" t="str">
        <f t="shared" si="82"/>
        <v>No Custom1</v>
      </c>
      <c r="N215" s="217" t="str">
        <f t="shared" si="81"/>
        <v>No Custom2</v>
      </c>
      <c r="O215" s="217" t="s">
        <v>61</v>
      </c>
      <c r="P215" s="217" t="s">
        <v>566</v>
      </c>
      <c r="Q215" s="217" t="str">
        <f t="shared" si="83"/>
        <v>FCCS_ClosingBalance_Input</v>
      </c>
      <c r="R215" s="217" t="str">
        <f t="shared" si="84"/>
        <v>Actual</v>
      </c>
      <c r="S215" s="217" t="str">
        <f t="shared" si="84"/>
        <v>FCCS_YTD_Input</v>
      </c>
      <c r="T215" s="217" t="s">
        <v>850</v>
      </c>
    </row>
    <row r="216" spans="2:20" x14ac:dyDescent="0.3">
      <c r="B216" s="214" t="s">
        <v>667</v>
      </c>
      <c r="C216" s="215" t="s">
        <v>420</v>
      </c>
      <c r="D216" s="216" t="str">
        <f>[2]!HsSetValue(E216,"FCC","Scenario#"&amp;R216&amp;";Years#"&amp;J216&amp;";Period#"&amp;I216&amp;";View#"&amp;S216&amp;";Entity#"&amp;H216&amp;";Data Source#"&amp;K216&amp;";Account#"&amp;F216&amp;";Intercompany#"&amp;L216&amp;";Movement#"&amp;Q216&amp;";Consolidation#"&amp;T216&amp;";Custom1#"&amp;M216&amp;";Custom2#"&amp;N216&amp;";Custom3#"&amp;O216&amp;";Custom4#"&amp;P216&amp;"")</f>
        <v>#Invalid Syntax</v>
      </c>
      <c r="E216" s="216">
        <f>SUMIFS('Investment Analysis'!$H$22:$H$69,'Investment Analysis'!$E$22:$E$69,"Corporate Debt-Domestic",'Investment Analysis'!$AB$22:$AB$69,"7")</f>
        <v>0</v>
      </c>
      <c r="F216" s="217" t="s">
        <v>674</v>
      </c>
      <c r="G216" s="217" t="s">
        <v>1049</v>
      </c>
      <c r="H216" s="218" t="e">
        <f t="shared" si="81"/>
        <v>#N/A</v>
      </c>
      <c r="I216" s="218" t="str">
        <f t="shared" si="81"/>
        <v>Jun</v>
      </c>
      <c r="J216" s="217" t="str">
        <f t="shared" si="81"/>
        <v>FY25</v>
      </c>
      <c r="K216" s="217" t="str">
        <f t="shared" si="81"/>
        <v>FCCS_Other Data</v>
      </c>
      <c r="L216" s="217" t="str">
        <f t="shared" si="81"/>
        <v>FCCS_No Intercompany</v>
      </c>
      <c r="M216" s="217" t="str">
        <f t="shared" si="82"/>
        <v>No Custom1</v>
      </c>
      <c r="N216" s="217" t="str">
        <f t="shared" si="81"/>
        <v>No Custom2</v>
      </c>
      <c r="O216" s="217" t="s">
        <v>62</v>
      </c>
      <c r="P216" s="217" t="s">
        <v>566</v>
      </c>
      <c r="Q216" s="217" t="str">
        <f t="shared" si="83"/>
        <v>FCCS_ClosingBalance_Input</v>
      </c>
      <c r="R216" s="217" t="str">
        <f t="shared" si="84"/>
        <v>Actual</v>
      </c>
      <c r="S216" s="217" t="str">
        <f t="shared" si="84"/>
        <v>FCCS_YTD_Input</v>
      </c>
      <c r="T216" s="217" t="s">
        <v>850</v>
      </c>
    </row>
    <row r="217" spans="2:20" x14ac:dyDescent="0.3">
      <c r="B217" s="214" t="s">
        <v>667</v>
      </c>
      <c r="C217" s="215" t="s">
        <v>420</v>
      </c>
      <c r="D217" s="216" t="str">
        <f>[2]!HsSetValue(E217,"FCC","Scenario#"&amp;R217&amp;";Years#"&amp;J217&amp;";Period#"&amp;I217&amp;";View#"&amp;S217&amp;";Entity#"&amp;H217&amp;";Data Source#"&amp;K217&amp;";Account#"&amp;F217&amp;";Intercompany#"&amp;L217&amp;";Movement#"&amp;Q217&amp;";Consolidation#"&amp;T217&amp;";Custom1#"&amp;M217&amp;";Custom2#"&amp;N217&amp;";Custom3#"&amp;O217&amp;";Custom4#"&amp;P217&amp;"")</f>
        <v>#Invalid Syntax</v>
      </c>
      <c r="E217" s="216">
        <f>SUMIFS('Investment Analysis'!$H$22:$H$69,'Investment Analysis'!$E$22:$E$69,"Corporate Debt-Domestic",'Investment Analysis'!$AB$22:$AB$69,"6")</f>
        <v>0</v>
      </c>
      <c r="F217" s="217" t="s">
        <v>674</v>
      </c>
      <c r="G217" s="217" t="s">
        <v>1049</v>
      </c>
      <c r="H217" s="218" t="e">
        <f t="shared" si="81"/>
        <v>#N/A</v>
      </c>
      <c r="I217" s="218" t="str">
        <f t="shared" si="81"/>
        <v>Jun</v>
      </c>
      <c r="J217" s="217" t="str">
        <f t="shared" si="81"/>
        <v>FY25</v>
      </c>
      <c r="K217" s="217" t="str">
        <f t="shared" si="81"/>
        <v>FCCS_Other Data</v>
      </c>
      <c r="L217" s="217" t="str">
        <f t="shared" si="81"/>
        <v>FCCS_No Intercompany</v>
      </c>
      <c r="M217" s="217" t="str">
        <f t="shared" si="82"/>
        <v>No Custom1</v>
      </c>
      <c r="N217" s="217" t="str">
        <f t="shared" si="81"/>
        <v>No Custom2</v>
      </c>
      <c r="O217" s="217" t="s">
        <v>436</v>
      </c>
      <c r="P217" s="217" t="s">
        <v>566</v>
      </c>
      <c r="Q217" s="217" t="str">
        <f t="shared" si="83"/>
        <v>FCCS_ClosingBalance_Input</v>
      </c>
      <c r="R217" s="217" t="str">
        <f t="shared" si="84"/>
        <v>Actual</v>
      </c>
      <c r="S217" s="217" t="str">
        <f t="shared" si="84"/>
        <v>FCCS_YTD_Input</v>
      </c>
      <c r="T217" s="217" t="s">
        <v>850</v>
      </c>
    </row>
    <row r="218" spans="2:20" s="371" customFormat="1" x14ac:dyDescent="0.3">
      <c r="B218" s="214" t="s">
        <v>667</v>
      </c>
      <c r="C218" s="215" t="s">
        <v>420</v>
      </c>
      <c r="D218" s="216" t="str">
        <f>[2]!HsSetValue(E218,"FCC","Scenario#"&amp;R218&amp;";Years#"&amp;J218&amp;";Period#"&amp;I218&amp;";View#"&amp;S218&amp;";Entity#"&amp;H218&amp;";Data Source#"&amp;K218&amp;";Account#"&amp;F218&amp;";Intercompany#"&amp;L218&amp;";Movement#"&amp;Q218&amp;";Consolidation#"&amp;T218&amp;";Custom1#"&amp;M218&amp;";Custom2#"&amp;N218&amp;";Custom3#"&amp;O218&amp;";Custom4#"&amp;P218&amp;"")</f>
        <v>#Invalid Syntax</v>
      </c>
      <c r="E218" s="216">
        <f>SUMIFS('Investment Analysis'!$H$22:$H$69,'Investment Analysis'!$E$22:$E$69,"Corporate Debt-Domestic",'Investment Analysis'!$AB$22:$AB$69,"5")</f>
        <v>0</v>
      </c>
      <c r="F218" s="217" t="s">
        <v>674</v>
      </c>
      <c r="G218" s="217" t="s">
        <v>1049</v>
      </c>
      <c r="H218" s="218" t="e">
        <f t="shared" si="81"/>
        <v>#N/A</v>
      </c>
      <c r="I218" s="218" t="str">
        <f t="shared" si="81"/>
        <v>Jun</v>
      </c>
      <c r="J218" s="217" t="str">
        <f t="shared" si="81"/>
        <v>FY25</v>
      </c>
      <c r="K218" s="217" t="str">
        <f t="shared" si="81"/>
        <v>FCCS_Other Data</v>
      </c>
      <c r="L218" s="217" t="str">
        <f t="shared" si="81"/>
        <v>FCCS_No Intercompany</v>
      </c>
      <c r="M218" s="217" t="str">
        <f t="shared" si="82"/>
        <v>No Custom1</v>
      </c>
      <c r="N218" s="217" t="str">
        <f t="shared" si="81"/>
        <v>No Custom2</v>
      </c>
      <c r="O218" s="217" t="s">
        <v>434</v>
      </c>
      <c r="P218" s="217" t="s">
        <v>566</v>
      </c>
      <c r="Q218" s="217" t="str">
        <f t="shared" si="83"/>
        <v>FCCS_ClosingBalance_Input</v>
      </c>
      <c r="R218" s="217" t="str">
        <f t="shared" si="84"/>
        <v>Actual</v>
      </c>
      <c r="S218" s="217" t="str">
        <f t="shared" si="84"/>
        <v>FCCS_YTD_Input</v>
      </c>
      <c r="T218" s="217" t="s">
        <v>850</v>
      </c>
    </row>
    <row r="219" spans="2:20" s="371" customFormat="1" x14ac:dyDescent="0.3">
      <c r="B219" s="214" t="s">
        <v>667</v>
      </c>
      <c r="C219" s="215" t="s">
        <v>420</v>
      </c>
      <c r="D219" s="216" t="str">
        <f>[2]!HsSetValue(E219,"FCC","Scenario#"&amp;R219&amp;";Years#"&amp;J219&amp;";Period#"&amp;I219&amp;";View#"&amp;S219&amp;";Entity#"&amp;H219&amp;";Data Source#"&amp;K219&amp;";Account#"&amp;F219&amp;";Intercompany#"&amp;L219&amp;";Movement#"&amp;Q219&amp;";Consolidation#"&amp;T219&amp;";Custom1#"&amp;M219&amp;";Custom2#"&amp;N219&amp;";Custom3#"&amp;O219&amp;";Custom4#"&amp;P219&amp;"")</f>
        <v>#Invalid Syntax</v>
      </c>
      <c r="E219" s="216">
        <f>SUMIFS('Investment Analysis'!$H$22:$H$69,'Investment Analysis'!$E$22:$E$69,"Corporate Debt-Domestic",'Investment Analysis'!$AB$22:$AB$69,"4")</f>
        <v>0</v>
      </c>
      <c r="F219" s="217" t="s">
        <v>674</v>
      </c>
      <c r="G219" s="217" t="s">
        <v>1049</v>
      </c>
      <c r="H219" s="218" t="e">
        <f t="shared" si="81"/>
        <v>#N/A</v>
      </c>
      <c r="I219" s="218" t="str">
        <f t="shared" si="81"/>
        <v>Jun</v>
      </c>
      <c r="J219" s="217" t="str">
        <f t="shared" si="81"/>
        <v>FY25</v>
      </c>
      <c r="K219" s="217" t="str">
        <f t="shared" si="81"/>
        <v>FCCS_Other Data</v>
      </c>
      <c r="L219" s="217" t="str">
        <f t="shared" si="81"/>
        <v>FCCS_No Intercompany</v>
      </c>
      <c r="M219" s="217" t="str">
        <f t="shared" si="82"/>
        <v>No Custom1</v>
      </c>
      <c r="N219" s="217" t="str">
        <f t="shared" si="81"/>
        <v>No Custom2</v>
      </c>
      <c r="O219" s="217" t="s">
        <v>63</v>
      </c>
      <c r="P219" s="217" t="s">
        <v>566</v>
      </c>
      <c r="Q219" s="217" t="str">
        <f t="shared" si="83"/>
        <v>FCCS_ClosingBalance_Input</v>
      </c>
      <c r="R219" s="217" t="str">
        <f t="shared" si="84"/>
        <v>Actual</v>
      </c>
      <c r="S219" s="217" t="str">
        <f t="shared" si="84"/>
        <v>FCCS_YTD_Input</v>
      </c>
      <c r="T219" s="217" t="s">
        <v>850</v>
      </c>
    </row>
    <row r="220" spans="2:20" s="371" customFormat="1" x14ac:dyDescent="0.3">
      <c r="B220" s="214" t="s">
        <v>667</v>
      </c>
      <c r="C220" s="215" t="s">
        <v>420</v>
      </c>
      <c r="D220" s="216" t="str">
        <f>[2]!HsSetValue(E220,"FCC","Scenario#"&amp;R220&amp;";Years#"&amp;J220&amp;";Period#"&amp;I220&amp;";View#"&amp;S220&amp;";Entity#"&amp;H220&amp;";Data Source#"&amp;K220&amp;";Account#"&amp;F220&amp;";Intercompany#"&amp;L220&amp;";Movement#"&amp;Q220&amp;";Consolidation#"&amp;T220&amp;";Custom1#"&amp;M220&amp;";Custom2#"&amp;N220&amp;";Custom3#"&amp;O220&amp;";Custom4#"&amp;P220&amp;"")</f>
        <v>#Invalid Syntax</v>
      </c>
      <c r="E220" s="216">
        <f>SUMIFS('Investment Analysis'!$H$22:$H$69,'Investment Analysis'!$E$22:$E$69,"Corporate Debt-Domestic",'Investment Analysis'!$AB$22:$AB$69,"3")</f>
        <v>0</v>
      </c>
      <c r="F220" s="217" t="s">
        <v>674</v>
      </c>
      <c r="G220" s="217" t="s">
        <v>1049</v>
      </c>
      <c r="H220" s="218" t="e">
        <f t="shared" si="81"/>
        <v>#N/A</v>
      </c>
      <c r="I220" s="218" t="str">
        <f t="shared" si="81"/>
        <v>Jun</v>
      </c>
      <c r="J220" s="217" t="str">
        <f t="shared" si="81"/>
        <v>FY25</v>
      </c>
      <c r="K220" s="217" t="str">
        <f t="shared" si="81"/>
        <v>FCCS_Other Data</v>
      </c>
      <c r="L220" s="217" t="str">
        <f t="shared" si="81"/>
        <v>FCCS_No Intercompany</v>
      </c>
      <c r="M220" s="217" t="str">
        <f t="shared" si="82"/>
        <v>No Custom1</v>
      </c>
      <c r="N220" s="217" t="str">
        <f t="shared" si="81"/>
        <v>No Custom2</v>
      </c>
      <c r="O220" s="217" t="s">
        <v>622</v>
      </c>
      <c r="P220" s="217" t="s">
        <v>566</v>
      </c>
      <c r="Q220" s="217" t="str">
        <f t="shared" si="83"/>
        <v>FCCS_ClosingBalance_Input</v>
      </c>
      <c r="R220" s="217" t="str">
        <f t="shared" si="84"/>
        <v>Actual</v>
      </c>
      <c r="S220" s="217" t="str">
        <f t="shared" si="84"/>
        <v>FCCS_YTD_Input</v>
      </c>
      <c r="T220" s="217" t="s">
        <v>850</v>
      </c>
    </row>
    <row r="221" spans="2:20" s="371" customFormat="1" x14ac:dyDescent="0.3">
      <c r="B221" s="214" t="s">
        <v>667</v>
      </c>
      <c r="C221" s="215" t="s">
        <v>420</v>
      </c>
      <c r="D221" s="216" t="str">
        <f>[2]!HsSetValue(E221,"FCC","Scenario#"&amp;R221&amp;";Years#"&amp;J221&amp;";Period#"&amp;I221&amp;";View#"&amp;S221&amp;";Entity#"&amp;H221&amp;";Data Source#"&amp;K221&amp;";Account#"&amp;F221&amp;";Intercompany#"&amp;L221&amp;";Movement#"&amp;Q221&amp;";Consolidation#"&amp;T221&amp;";Custom1#"&amp;M221&amp;";Custom2#"&amp;N221&amp;";Custom3#"&amp;O221&amp;";Custom4#"&amp;P221&amp;"")</f>
        <v>#Invalid Syntax</v>
      </c>
      <c r="E221" s="216">
        <f>SUMIFS('Investment Analysis'!$H$22:$H$69,'Investment Analysis'!$E$22:$E$69,"Corporate Debt-Domestic",'Investment Analysis'!$AB$22:$AB$69,"2")</f>
        <v>0</v>
      </c>
      <c r="F221" s="217" t="s">
        <v>674</v>
      </c>
      <c r="G221" s="217" t="s">
        <v>1049</v>
      </c>
      <c r="H221" s="218" t="e">
        <f t="shared" si="81"/>
        <v>#N/A</v>
      </c>
      <c r="I221" s="218" t="str">
        <f t="shared" si="81"/>
        <v>Jun</v>
      </c>
      <c r="J221" s="217" t="str">
        <f t="shared" si="81"/>
        <v>FY25</v>
      </c>
      <c r="K221" s="217" t="str">
        <f t="shared" si="81"/>
        <v>FCCS_Other Data</v>
      </c>
      <c r="L221" s="217" t="str">
        <f t="shared" si="81"/>
        <v>FCCS_No Intercompany</v>
      </c>
      <c r="M221" s="217" t="str">
        <f t="shared" si="82"/>
        <v>No Custom1</v>
      </c>
      <c r="N221" s="217" t="str">
        <f t="shared" si="81"/>
        <v>No Custom2</v>
      </c>
      <c r="O221" s="217" t="s">
        <v>618</v>
      </c>
      <c r="P221" s="217" t="s">
        <v>566</v>
      </c>
      <c r="Q221" s="217" t="str">
        <f t="shared" si="83"/>
        <v>FCCS_ClosingBalance_Input</v>
      </c>
      <c r="R221" s="217" t="str">
        <f t="shared" si="84"/>
        <v>Actual</v>
      </c>
      <c r="S221" s="217" t="str">
        <f t="shared" si="84"/>
        <v>FCCS_YTD_Input</v>
      </c>
      <c r="T221" s="217" t="s">
        <v>850</v>
      </c>
    </row>
    <row r="222" spans="2:20" s="371" customFormat="1" x14ac:dyDescent="0.3">
      <c r="B222" s="214" t="s">
        <v>667</v>
      </c>
      <c r="C222" s="215" t="s">
        <v>420</v>
      </c>
      <c r="D222" s="216" t="str">
        <f>[2]!HsSetValue(E222,"FCC","Scenario#"&amp;R222&amp;";Years#"&amp;J222&amp;";Period#"&amp;I222&amp;";View#"&amp;S222&amp;";Entity#"&amp;H222&amp;";Data Source#"&amp;K222&amp;";Account#"&amp;F222&amp;";Intercompany#"&amp;L222&amp;";Movement#"&amp;Q222&amp;";Consolidation#"&amp;T222&amp;";Custom1#"&amp;M222&amp;";Custom2#"&amp;N222&amp;";Custom3#"&amp;O222&amp;";Custom4#"&amp;P222&amp;"")</f>
        <v>#Invalid Syntax</v>
      </c>
      <c r="E222" s="216">
        <f>SUMIFS('Investment Analysis'!$H$22:$H$69,'Investment Analysis'!$E$22:$E$69,"Corporate Debt-Domestic",'Investment Analysis'!$AB$22:$AB$69,"1")</f>
        <v>0</v>
      </c>
      <c r="F222" s="217" t="s">
        <v>674</v>
      </c>
      <c r="G222" s="217" t="s">
        <v>1049</v>
      </c>
      <c r="H222" s="218" t="e">
        <f t="shared" si="81"/>
        <v>#N/A</v>
      </c>
      <c r="I222" s="218" t="str">
        <f t="shared" si="81"/>
        <v>Jun</v>
      </c>
      <c r="J222" s="217" t="str">
        <f t="shared" si="81"/>
        <v>FY25</v>
      </c>
      <c r="K222" s="217" t="str">
        <f t="shared" si="81"/>
        <v>FCCS_Other Data</v>
      </c>
      <c r="L222" s="217" t="str">
        <f t="shared" si="81"/>
        <v>FCCS_No Intercompany</v>
      </c>
      <c r="M222" s="217" t="str">
        <f t="shared" si="82"/>
        <v>No Custom1</v>
      </c>
      <c r="N222" s="217" t="str">
        <f t="shared" si="81"/>
        <v>No Custom2</v>
      </c>
      <c r="O222" s="217" t="s">
        <v>64</v>
      </c>
      <c r="P222" s="217" t="s">
        <v>566</v>
      </c>
      <c r="Q222" s="217" t="str">
        <f t="shared" si="83"/>
        <v>FCCS_ClosingBalance_Input</v>
      </c>
      <c r="R222" s="217" t="str">
        <f t="shared" si="84"/>
        <v>Actual</v>
      </c>
      <c r="S222" s="217" t="str">
        <f t="shared" si="84"/>
        <v>FCCS_YTD_Input</v>
      </c>
      <c r="T222" s="217" t="s">
        <v>850</v>
      </c>
    </row>
    <row r="223" spans="2:20" x14ac:dyDescent="0.3">
      <c r="B223" s="214" t="s">
        <v>667</v>
      </c>
      <c r="C223" s="215" t="s">
        <v>420</v>
      </c>
      <c r="D223" s="216" t="str">
        <f>[2]!HsSetValue(E223,"FCC","Scenario#"&amp;R223&amp;";Years#"&amp;J223&amp;";Period#"&amp;I223&amp;";View#"&amp;S223&amp;";Entity#"&amp;H223&amp;";Data Source#"&amp;K223&amp;";Account#"&amp;F223&amp;";Intercompany#"&amp;L223&amp;";Movement#"&amp;Q223&amp;";Consolidation#"&amp;T223&amp;";Custom1#"&amp;M223&amp;";Custom2#"&amp;N223&amp;";Custom3#"&amp;O223&amp;";Custom4#"&amp;P223&amp;"")</f>
        <v>#Invalid Syntax</v>
      </c>
      <c r="E223" s="216">
        <f>SUMIFS('Investment Analysis'!$H$22:$H$69,'Investment Analysis'!$E$22:$E$69,"Corporate Debt-Domestic",'Investment Analysis'!$AI$22:$AI$69,"16")</f>
        <v>0</v>
      </c>
      <c r="F223" s="217" t="s">
        <v>674</v>
      </c>
      <c r="G223" s="217" t="s">
        <v>1049</v>
      </c>
      <c r="H223" s="218" t="e">
        <f t="shared" si="81"/>
        <v>#N/A</v>
      </c>
      <c r="I223" s="218" t="str">
        <f t="shared" si="81"/>
        <v>Jun</v>
      </c>
      <c r="J223" s="217" t="str">
        <f t="shared" si="81"/>
        <v>FY25</v>
      </c>
      <c r="K223" s="217" t="str">
        <f t="shared" si="81"/>
        <v>FCCS_Other Data</v>
      </c>
      <c r="L223" s="217" t="str">
        <f t="shared" si="81"/>
        <v>FCCS_No Intercompany</v>
      </c>
      <c r="M223" s="217" t="str">
        <f t="shared" si="82"/>
        <v>No Custom1</v>
      </c>
      <c r="N223" s="217" t="str">
        <f t="shared" si="81"/>
        <v>No Custom2</v>
      </c>
      <c r="O223" s="217" t="s">
        <v>726</v>
      </c>
      <c r="P223" s="217" t="s">
        <v>566</v>
      </c>
      <c r="Q223" s="217" t="str">
        <f t="shared" si="83"/>
        <v>FCCS_ClosingBalance_Input</v>
      </c>
      <c r="R223" s="217" t="str">
        <f t="shared" si="84"/>
        <v>Actual</v>
      </c>
      <c r="S223" s="217" t="str">
        <f t="shared" si="84"/>
        <v>FCCS_YTD_Input</v>
      </c>
      <c r="T223" s="217" t="s">
        <v>850</v>
      </c>
    </row>
    <row r="224" spans="2:20" x14ac:dyDescent="0.3">
      <c r="B224" s="214" t="s">
        <v>667</v>
      </c>
      <c r="C224" s="215" t="s">
        <v>420</v>
      </c>
      <c r="D224" s="216" t="str">
        <f>[2]!HsSetValue(E224,"FCC","Scenario#"&amp;R224&amp;";Years#"&amp;J224&amp;";Period#"&amp;I224&amp;";View#"&amp;S224&amp;";Entity#"&amp;H224&amp;";Data Source#"&amp;K224&amp;";Account#"&amp;F224&amp;";Intercompany#"&amp;L224&amp;";Movement#"&amp;Q224&amp;";Consolidation#"&amp;T224&amp;";Custom1#"&amp;M224&amp;";Custom2#"&amp;N224&amp;";Custom3#"&amp;O224&amp;";Custom4#"&amp;P224&amp;"")</f>
        <v>#Invalid Syntax</v>
      </c>
      <c r="E224" s="216">
        <f>SUMIFS('Investment Analysis'!$H$22:$H$69,'Investment Analysis'!$E$22:$E$69,"Corporate Debt-Domestic",'Investment Analysis'!$AI$22:$AI$69,"15")</f>
        <v>0</v>
      </c>
      <c r="F224" s="217" t="s">
        <v>674</v>
      </c>
      <c r="G224" s="217" t="s">
        <v>1049</v>
      </c>
      <c r="H224" s="218" t="e">
        <f t="shared" si="81"/>
        <v>#N/A</v>
      </c>
      <c r="I224" s="218" t="str">
        <f t="shared" si="81"/>
        <v>Jun</v>
      </c>
      <c r="J224" s="217" t="str">
        <f t="shared" si="81"/>
        <v>FY25</v>
      </c>
      <c r="K224" s="217" t="str">
        <f t="shared" si="81"/>
        <v>FCCS_Other Data</v>
      </c>
      <c r="L224" s="217" t="str">
        <f t="shared" si="81"/>
        <v>FCCS_No Intercompany</v>
      </c>
      <c r="M224" s="217" t="str">
        <f t="shared" si="82"/>
        <v>No Custom1</v>
      </c>
      <c r="N224" s="217" t="str">
        <f t="shared" si="81"/>
        <v>No Custom2</v>
      </c>
      <c r="O224" s="217" t="s">
        <v>727</v>
      </c>
      <c r="P224" s="217" t="s">
        <v>566</v>
      </c>
      <c r="Q224" s="217" t="str">
        <f t="shared" si="83"/>
        <v>FCCS_ClosingBalance_Input</v>
      </c>
      <c r="R224" s="217" t="str">
        <f t="shared" si="84"/>
        <v>Actual</v>
      </c>
      <c r="S224" s="217" t="str">
        <f t="shared" si="84"/>
        <v>FCCS_YTD_Input</v>
      </c>
      <c r="T224" s="217" t="s">
        <v>850</v>
      </c>
    </row>
    <row r="225" spans="2:20" x14ac:dyDescent="0.3">
      <c r="B225" s="214" t="s">
        <v>667</v>
      </c>
      <c r="C225" s="215" t="s">
        <v>420</v>
      </c>
      <c r="D225" s="216" t="str">
        <f>[2]!HsSetValue(E225,"FCC","Scenario#"&amp;R225&amp;";Years#"&amp;J225&amp;";Period#"&amp;I225&amp;";View#"&amp;S225&amp;";Entity#"&amp;H225&amp;";Data Source#"&amp;K225&amp;";Account#"&amp;F225&amp;";Intercompany#"&amp;L225&amp;";Movement#"&amp;Q225&amp;";Consolidation#"&amp;T225&amp;";Custom1#"&amp;M225&amp;";Custom2#"&amp;N225&amp;";Custom3#"&amp;O225&amp;";Custom4#"&amp;P225&amp;"")</f>
        <v>#Invalid Syntax</v>
      </c>
      <c r="E225" s="216">
        <f>SUMIFS('Investment Analysis'!$H$22:$H$69,'Investment Analysis'!$E$22:$E$69,"Corporate Debt-Domestic",'Investment Analysis'!$AI$22:$AI$69,"14")</f>
        <v>0</v>
      </c>
      <c r="F225" s="217" t="s">
        <v>674</v>
      </c>
      <c r="G225" s="217" t="s">
        <v>1049</v>
      </c>
      <c r="H225" s="218" t="e">
        <f t="shared" si="81"/>
        <v>#N/A</v>
      </c>
      <c r="I225" s="218" t="str">
        <f t="shared" si="81"/>
        <v>Jun</v>
      </c>
      <c r="J225" s="217" t="str">
        <f t="shared" si="81"/>
        <v>FY25</v>
      </c>
      <c r="K225" s="217" t="str">
        <f t="shared" si="81"/>
        <v>FCCS_Other Data</v>
      </c>
      <c r="L225" s="217" t="str">
        <f t="shared" si="81"/>
        <v>FCCS_No Intercompany</v>
      </c>
      <c r="M225" s="217" t="str">
        <f t="shared" si="82"/>
        <v>No Custom1</v>
      </c>
      <c r="N225" s="217" t="str">
        <f t="shared" si="81"/>
        <v>No Custom2</v>
      </c>
      <c r="O225" s="217" t="s">
        <v>728</v>
      </c>
      <c r="P225" s="217" t="s">
        <v>566</v>
      </c>
      <c r="Q225" s="217" t="str">
        <f t="shared" si="83"/>
        <v>FCCS_ClosingBalance_Input</v>
      </c>
      <c r="R225" s="217" t="str">
        <f t="shared" si="84"/>
        <v>Actual</v>
      </c>
      <c r="S225" s="217" t="str">
        <f t="shared" si="84"/>
        <v>FCCS_YTD_Input</v>
      </c>
      <c r="T225" s="217" t="s">
        <v>850</v>
      </c>
    </row>
    <row r="226" spans="2:20" x14ac:dyDescent="0.3">
      <c r="B226" s="214" t="s">
        <v>667</v>
      </c>
      <c r="C226" s="215" t="s">
        <v>420</v>
      </c>
      <c r="D226" s="216" t="str">
        <f>[2]!HsSetValue(E226,"FCC","Scenario#"&amp;R226&amp;";Years#"&amp;J226&amp;";Period#"&amp;I226&amp;";View#"&amp;S226&amp;";Entity#"&amp;H226&amp;";Data Source#"&amp;K226&amp;";Account#"&amp;F226&amp;";Intercompany#"&amp;L226&amp;";Movement#"&amp;Q226&amp;";Consolidation#"&amp;T226&amp;";Custom1#"&amp;M226&amp;";Custom2#"&amp;N226&amp;";Custom3#"&amp;O226&amp;";Custom4#"&amp;P226&amp;"")</f>
        <v>#Invalid Syntax</v>
      </c>
      <c r="E226" s="216">
        <f>SUMIFS('Investment Analysis'!$H$22:$H$69,'Investment Analysis'!$E$22:$E$69,"Corporate Debt-Domestic",'Investment Analysis'!$AB$22:$AB$69,"0")+SUMIFS('Investment Analysis'!$H$22:$H$69,'Investment Analysis'!$E$22:$E$69,"Corporate Debt-Domestic",'Investment Analysis'!$AI$22:$AI$69,"0")</f>
        <v>0</v>
      </c>
      <c r="F226" s="217" t="s">
        <v>674</v>
      </c>
      <c r="G226" s="217" t="s">
        <v>1049</v>
      </c>
      <c r="H226" s="218" t="e">
        <f t="shared" si="81"/>
        <v>#N/A</v>
      </c>
      <c r="I226" s="218" t="str">
        <f t="shared" si="81"/>
        <v>Jun</v>
      </c>
      <c r="J226" s="217" t="str">
        <f t="shared" si="81"/>
        <v>FY25</v>
      </c>
      <c r="K226" s="217" t="str">
        <f t="shared" si="81"/>
        <v>FCCS_Other Data</v>
      </c>
      <c r="L226" s="217" t="str">
        <f t="shared" si="81"/>
        <v>FCCS_No Intercompany</v>
      </c>
      <c r="M226" s="217" t="str">
        <f t="shared" si="82"/>
        <v>No Custom1</v>
      </c>
      <c r="N226" s="217" t="str">
        <f t="shared" si="81"/>
        <v>No Custom2</v>
      </c>
      <c r="O226" s="217" t="s">
        <v>609</v>
      </c>
      <c r="P226" s="217" t="s">
        <v>566</v>
      </c>
      <c r="Q226" s="217" t="str">
        <f t="shared" si="83"/>
        <v>FCCS_ClosingBalance_Input</v>
      </c>
      <c r="R226" s="217" t="str">
        <f t="shared" si="84"/>
        <v>Actual</v>
      </c>
      <c r="S226" s="217" t="str">
        <f t="shared" si="84"/>
        <v>FCCS_YTD_Input</v>
      </c>
      <c r="T226" s="217" t="s">
        <v>850</v>
      </c>
    </row>
    <row r="227" spans="2:20" x14ac:dyDescent="0.3">
      <c r="B227" s="210"/>
      <c r="C227" s="211"/>
      <c r="D227" s="212"/>
      <c r="E227" s="212"/>
    </row>
    <row r="228" spans="2:20" x14ac:dyDescent="0.3">
      <c r="B228" s="219" t="s">
        <v>1014</v>
      </c>
      <c r="C228" s="220" t="s">
        <v>420</v>
      </c>
      <c r="D228" s="221" t="str">
        <f>[2]!HsSetValue(E228,"FCC","Scenario#"&amp;R228&amp;";Years#"&amp;J228&amp;";Period#"&amp;I228&amp;";View#"&amp;S228&amp;";Entity#"&amp;H228&amp;";Data Source#"&amp;K228&amp;";Account#"&amp;F228&amp;";Intercompany#"&amp;L228&amp;";Movement#"&amp;Q228&amp;";Consolidation#"&amp;T228&amp;";Custom1#"&amp;M228&amp;";Custom2#"&amp;N228&amp;";Custom3#"&amp;O228&amp;";Custom4#"&amp;P228&amp;"")</f>
        <v>#Invalid Syntax</v>
      </c>
      <c r="E228" s="221">
        <f>SUMIFS('Investment Analysis'!$H$22:$H$69,'Investment Analysis'!$E$22:$E$69,"Corporate Debt-Domestic",'Investment Analysis'!$AK$22:$AK$69,"21")</f>
        <v>0</v>
      </c>
      <c r="F228" s="222" t="s">
        <v>675</v>
      </c>
      <c r="G228" s="222" t="s">
        <v>1019</v>
      </c>
      <c r="H228" s="223" t="e">
        <f>+H$2</f>
        <v>#N/A</v>
      </c>
      <c r="I228" s="223" t="str">
        <f t="shared" ref="I228:I232" si="85">+I$2</f>
        <v>Jun</v>
      </c>
      <c r="J228" s="222" t="str">
        <f>+J$2</f>
        <v>FY25</v>
      </c>
      <c r="K228" s="222" t="s">
        <v>843</v>
      </c>
      <c r="L228" s="222" t="s">
        <v>844</v>
      </c>
      <c r="M228" s="222" t="s">
        <v>845</v>
      </c>
      <c r="N228" s="222" t="s">
        <v>846</v>
      </c>
      <c r="O228" s="222" t="s">
        <v>729</v>
      </c>
      <c r="P228" s="222" t="s">
        <v>566</v>
      </c>
      <c r="Q228" s="222" t="str">
        <f t="shared" ref="Q228:Q232" si="86">Q$2</f>
        <v>FCCS_ClosingBalance_Input</v>
      </c>
      <c r="R228" s="222" t="s">
        <v>169</v>
      </c>
      <c r="S228" s="222" t="s">
        <v>848</v>
      </c>
      <c r="T228" s="222" t="s">
        <v>850</v>
      </c>
    </row>
    <row r="229" spans="2:20" x14ac:dyDescent="0.3">
      <c r="B229" s="219" t="s">
        <v>1014</v>
      </c>
      <c r="C229" s="220" t="s">
        <v>420</v>
      </c>
      <c r="D229" s="221" t="str">
        <f>[2]!HsSetValue(E229,"FCC","Scenario#"&amp;R229&amp;";Years#"&amp;J229&amp;";Period#"&amp;I229&amp;";View#"&amp;S229&amp;";Entity#"&amp;H229&amp;";Data Source#"&amp;K229&amp;";Account#"&amp;F229&amp;";Intercompany#"&amp;L229&amp;";Movement#"&amp;Q229&amp;";Consolidation#"&amp;T229&amp;";Custom1#"&amp;M229&amp;";Custom2#"&amp;N229&amp;";Custom3#"&amp;O229&amp;";Custom4#"&amp;P229&amp;"")</f>
        <v>#Invalid Syntax</v>
      </c>
      <c r="E229" s="221">
        <f>SUMIFS('Investment Analysis'!$H$22:$H$69,'Investment Analysis'!$E$22:$E$69,"Corporate Debt-Domestic",'Investment Analysis'!$AK$22:$AK$69,"22")</f>
        <v>0</v>
      </c>
      <c r="F229" s="222" t="s">
        <v>675</v>
      </c>
      <c r="G229" s="222" t="s">
        <v>1019</v>
      </c>
      <c r="H229" s="223" t="e">
        <f>+H$2</f>
        <v>#N/A</v>
      </c>
      <c r="I229" s="223" t="str">
        <f t="shared" si="85"/>
        <v>Jun</v>
      </c>
      <c r="J229" s="222" t="str">
        <f>+J$2</f>
        <v>FY25</v>
      </c>
      <c r="K229" s="222" t="str">
        <f t="shared" ref="K229:N232" si="87">+K$2</f>
        <v>FCCS_Other Data</v>
      </c>
      <c r="L229" s="222" t="str">
        <f t="shared" si="87"/>
        <v>FCCS_No Intercompany</v>
      </c>
      <c r="M229" s="222" t="str">
        <f>+M$1</f>
        <v>No Custom1</v>
      </c>
      <c r="N229" s="222" t="str">
        <f t="shared" si="87"/>
        <v>No Custom2</v>
      </c>
      <c r="O229" s="222" t="s">
        <v>730</v>
      </c>
      <c r="P229" s="222" t="s">
        <v>566</v>
      </c>
      <c r="Q229" s="222" t="str">
        <f t="shared" si="86"/>
        <v>FCCS_ClosingBalance_Input</v>
      </c>
      <c r="R229" s="222" t="str">
        <f t="shared" ref="R229:S232" si="88">+R$2</f>
        <v>Actual</v>
      </c>
      <c r="S229" s="222" t="str">
        <f t="shared" si="88"/>
        <v>FCCS_YTD_Input</v>
      </c>
      <c r="T229" s="222" t="s">
        <v>850</v>
      </c>
    </row>
    <row r="230" spans="2:20" x14ac:dyDescent="0.3">
      <c r="B230" s="219" t="s">
        <v>1014</v>
      </c>
      <c r="C230" s="220" t="s">
        <v>420</v>
      </c>
      <c r="D230" s="221" t="str">
        <f>[2]!HsSetValue(E230,"FCC","Scenario#"&amp;R230&amp;";Years#"&amp;J230&amp;";Period#"&amp;I230&amp;";View#"&amp;S230&amp;";Entity#"&amp;H230&amp;";Data Source#"&amp;K230&amp;";Account#"&amp;F230&amp;";Intercompany#"&amp;L230&amp;";Movement#"&amp;Q230&amp;";Consolidation#"&amp;T230&amp;";Custom1#"&amp;M230&amp;";Custom2#"&amp;N230&amp;";Custom3#"&amp;O230&amp;";Custom4#"&amp;P230&amp;"")</f>
        <v>#Invalid Syntax</v>
      </c>
      <c r="E230" s="221">
        <f>SUMIFS('Investment Analysis'!$H$22:$H$69,'Investment Analysis'!$E$22:$E$69,"Corporate Debt-Domestic",'Investment Analysis'!$AK$22:$AK$69,"23")</f>
        <v>0</v>
      </c>
      <c r="F230" s="222" t="s">
        <v>675</v>
      </c>
      <c r="G230" s="222" t="s">
        <v>1019</v>
      </c>
      <c r="H230" s="223" t="e">
        <f>+H$2</f>
        <v>#N/A</v>
      </c>
      <c r="I230" s="223" t="str">
        <f t="shared" si="85"/>
        <v>Jun</v>
      </c>
      <c r="J230" s="222" t="str">
        <f>+J$2</f>
        <v>FY25</v>
      </c>
      <c r="K230" s="222" t="str">
        <f t="shared" si="87"/>
        <v>FCCS_Other Data</v>
      </c>
      <c r="L230" s="222" t="str">
        <f t="shared" si="87"/>
        <v>FCCS_No Intercompany</v>
      </c>
      <c r="M230" s="222" t="str">
        <f>+M$1</f>
        <v>No Custom1</v>
      </c>
      <c r="N230" s="222" t="str">
        <f t="shared" si="87"/>
        <v>No Custom2</v>
      </c>
      <c r="O230" s="222" t="s">
        <v>731</v>
      </c>
      <c r="P230" s="222" t="s">
        <v>566</v>
      </c>
      <c r="Q230" s="222" t="str">
        <f t="shared" si="86"/>
        <v>FCCS_ClosingBalance_Input</v>
      </c>
      <c r="R230" s="222" t="str">
        <f t="shared" si="88"/>
        <v>Actual</v>
      </c>
      <c r="S230" s="222" t="str">
        <f t="shared" si="88"/>
        <v>FCCS_YTD_Input</v>
      </c>
      <c r="T230" s="222" t="s">
        <v>850</v>
      </c>
    </row>
    <row r="231" spans="2:20" x14ac:dyDescent="0.3">
      <c r="B231" s="219" t="s">
        <v>1014</v>
      </c>
      <c r="C231" s="220" t="s">
        <v>420</v>
      </c>
      <c r="D231" s="221" t="str">
        <f>[2]!HsSetValue(E231,"FCC","Scenario#"&amp;R231&amp;";Years#"&amp;J231&amp;";Period#"&amp;I231&amp;";View#"&amp;S231&amp;";Entity#"&amp;H231&amp;";Data Source#"&amp;K231&amp;";Account#"&amp;F231&amp;";Intercompany#"&amp;L231&amp;";Movement#"&amp;Q231&amp;";Consolidation#"&amp;T231&amp;";Custom1#"&amp;M231&amp;";Custom2#"&amp;N231&amp;";Custom3#"&amp;O231&amp;";Custom4#"&amp;P231&amp;"")</f>
        <v>#Invalid Syntax</v>
      </c>
      <c r="E231" s="221">
        <f>SUMIFS('Investment Analysis'!$H$22:$H$69,'Investment Analysis'!$E$22:$E$69,"Corporate Debt-Domestic",'Investment Analysis'!$AK$22:$AK$69,"24")</f>
        <v>0</v>
      </c>
      <c r="F231" s="222" t="s">
        <v>675</v>
      </c>
      <c r="G231" s="222" t="s">
        <v>1019</v>
      </c>
      <c r="H231" s="223" t="e">
        <f>+H$2</f>
        <v>#N/A</v>
      </c>
      <c r="I231" s="223" t="str">
        <f t="shared" si="85"/>
        <v>Jun</v>
      </c>
      <c r="J231" s="222" t="str">
        <f>+J$2</f>
        <v>FY25</v>
      </c>
      <c r="K231" s="222" t="str">
        <f t="shared" si="87"/>
        <v>FCCS_Other Data</v>
      </c>
      <c r="L231" s="222" t="str">
        <f t="shared" si="87"/>
        <v>FCCS_No Intercompany</v>
      </c>
      <c r="M231" s="222" t="str">
        <f>+M$1</f>
        <v>No Custom1</v>
      </c>
      <c r="N231" s="222" t="str">
        <f t="shared" si="87"/>
        <v>No Custom2</v>
      </c>
      <c r="O231" s="222" t="s">
        <v>732</v>
      </c>
      <c r="P231" s="222" t="s">
        <v>566</v>
      </c>
      <c r="Q231" s="222" t="str">
        <f t="shared" si="86"/>
        <v>FCCS_ClosingBalance_Input</v>
      </c>
      <c r="R231" s="222" t="str">
        <f t="shared" si="88"/>
        <v>Actual</v>
      </c>
      <c r="S231" s="222" t="str">
        <f t="shared" si="88"/>
        <v>FCCS_YTD_Input</v>
      </c>
      <c r="T231" s="222" t="s">
        <v>850</v>
      </c>
    </row>
    <row r="232" spans="2:20" x14ac:dyDescent="0.3">
      <c r="B232" s="219" t="s">
        <v>1014</v>
      </c>
      <c r="C232" s="220" t="s">
        <v>420</v>
      </c>
      <c r="D232" s="221" t="str">
        <f>[2]!HsSetValue(E232,"FCC","Scenario#"&amp;R232&amp;";Years#"&amp;J232&amp;";Period#"&amp;I232&amp;";View#"&amp;S232&amp;";Entity#"&amp;H232&amp;";Data Source#"&amp;K232&amp;";Account#"&amp;F232&amp;";Intercompany#"&amp;L232&amp;";Movement#"&amp;Q232&amp;";Consolidation#"&amp;T232&amp;";Custom1#"&amp;M232&amp;";Custom2#"&amp;N232&amp;";Custom3#"&amp;O232&amp;";Custom4#"&amp;P232&amp;"")</f>
        <v>#Invalid Syntax</v>
      </c>
      <c r="E232" s="221">
        <f>SUMIFS('Investment Analysis'!$H$22:$H$69,'Investment Analysis'!$E$22:$E$69,"Corporate Debt-Domestic",'Investment Analysis'!$AK$22:$AK$69,"25")</f>
        <v>0</v>
      </c>
      <c r="F232" s="222" t="s">
        <v>675</v>
      </c>
      <c r="G232" s="222" t="s">
        <v>1019</v>
      </c>
      <c r="H232" s="223" t="e">
        <f>+H$2</f>
        <v>#N/A</v>
      </c>
      <c r="I232" s="223" t="str">
        <f t="shared" si="85"/>
        <v>Jun</v>
      </c>
      <c r="J232" s="222" t="str">
        <f>+J$2</f>
        <v>FY25</v>
      </c>
      <c r="K232" s="222" t="str">
        <f t="shared" si="87"/>
        <v>FCCS_Other Data</v>
      </c>
      <c r="L232" s="222" t="str">
        <f t="shared" si="87"/>
        <v>FCCS_No Intercompany</v>
      </c>
      <c r="M232" s="222" t="str">
        <f>+M$1</f>
        <v>No Custom1</v>
      </c>
      <c r="N232" s="222" t="str">
        <f t="shared" si="87"/>
        <v>No Custom2</v>
      </c>
      <c r="O232" s="222" t="s">
        <v>733</v>
      </c>
      <c r="P232" s="222" t="s">
        <v>566</v>
      </c>
      <c r="Q232" s="222" t="str">
        <f t="shared" si="86"/>
        <v>FCCS_ClosingBalance_Input</v>
      </c>
      <c r="R232" s="222" t="str">
        <f t="shared" si="88"/>
        <v>Actual</v>
      </c>
      <c r="S232" s="222" t="str">
        <f t="shared" si="88"/>
        <v>FCCS_YTD_Input</v>
      </c>
      <c r="T232" s="222" t="s">
        <v>850</v>
      </c>
    </row>
    <row r="233" spans="2:20" outlineLevel="1" x14ac:dyDescent="0.3">
      <c r="B233" s="210"/>
    </row>
    <row r="234" spans="2:20" x14ac:dyDescent="0.3">
      <c r="B234" s="364" t="s">
        <v>668</v>
      </c>
      <c r="C234" s="365" t="s">
        <v>421</v>
      </c>
      <c r="D234" s="366" t="str">
        <f>[2]!HsSetValue(E234,"FCC","Scenario#"&amp;R234&amp;";Years#"&amp;J234&amp;";Period#"&amp;I234&amp;";View#"&amp;S234&amp;";Entity#"&amp;H234&amp;";Data Source#"&amp;K234&amp;";Account#"&amp;F234&amp;";Intercompany#"&amp;L234&amp;";Movement#"&amp;Q234&amp;";Consolidation#"&amp;T234&amp;";Custom1#"&amp;M234&amp;";Custom2#"&amp;N234&amp;";Custom3#"&amp;O234&amp;";Custom4#"&amp;P234&amp;"")</f>
        <v>#Invalid Syntax</v>
      </c>
      <c r="E234" s="366">
        <f>SUMIF('Investment Analysis'!$E$22:$E$69,'FCC Investments - Load Tab'!C234,'Investment Analysis'!$K$22:$K$69)</f>
        <v>0</v>
      </c>
      <c r="F234" s="367" t="s">
        <v>673</v>
      </c>
      <c r="G234" s="367" t="s">
        <v>689</v>
      </c>
      <c r="H234" s="368" t="e">
        <f>+H$2</f>
        <v>#N/A</v>
      </c>
      <c r="I234" s="368" t="str">
        <f t="shared" ref="I234:J238" si="89">+I$2</f>
        <v>Jun</v>
      </c>
      <c r="J234" s="367" t="str">
        <f t="shared" si="89"/>
        <v>FY25</v>
      </c>
      <c r="K234" s="367" t="s">
        <v>843</v>
      </c>
      <c r="L234" s="367" t="s">
        <v>844</v>
      </c>
      <c r="M234" s="367" t="s">
        <v>845</v>
      </c>
      <c r="N234" s="367" t="s">
        <v>846</v>
      </c>
      <c r="O234" s="367" t="s">
        <v>721</v>
      </c>
      <c r="P234" s="367" t="s">
        <v>567</v>
      </c>
      <c r="Q234" s="367" t="str">
        <f t="shared" ref="Q234:Q238" si="90">Q$2</f>
        <v>FCCS_ClosingBalance_Input</v>
      </c>
      <c r="R234" s="367" t="s">
        <v>169</v>
      </c>
      <c r="S234" s="367" t="s">
        <v>848</v>
      </c>
      <c r="T234" s="367" t="s">
        <v>850</v>
      </c>
    </row>
    <row r="235" spans="2:20" x14ac:dyDescent="0.3">
      <c r="B235" s="364" t="s">
        <v>668</v>
      </c>
      <c r="C235" s="365" t="s">
        <v>421</v>
      </c>
      <c r="D235" s="366" t="str">
        <f>[2]!HsSetValue(E235,"FCC","Scenario#"&amp;R235&amp;";Years#"&amp;J235&amp;";Period#"&amp;I235&amp;";View#"&amp;S235&amp;";Entity#"&amp;H235&amp;";Data Source#"&amp;K235&amp;";Account#"&amp;F235&amp;";Intercompany#"&amp;L235&amp;";Movement#"&amp;Q235&amp;";Consolidation#"&amp;T235&amp;";Custom1#"&amp;M235&amp;";Custom2#"&amp;N235&amp;";Custom3#"&amp;O235&amp;";Custom4#"&amp;P235&amp;"")</f>
        <v>#Invalid Syntax</v>
      </c>
      <c r="E235" s="366">
        <f>SUMIF('Investment Analysis'!$E$22:$E$69,'FCC Investments - Load Tab'!C234,'Investment Analysis'!$L$22:$L$69)</f>
        <v>0</v>
      </c>
      <c r="F235" s="367" t="s">
        <v>673</v>
      </c>
      <c r="G235" s="367" t="s">
        <v>689</v>
      </c>
      <c r="H235" s="368" t="e">
        <f>+H$2</f>
        <v>#N/A</v>
      </c>
      <c r="I235" s="368" t="str">
        <f t="shared" si="89"/>
        <v>Jun</v>
      </c>
      <c r="J235" s="367" t="str">
        <f t="shared" si="89"/>
        <v>FY25</v>
      </c>
      <c r="K235" s="367" t="s">
        <v>843</v>
      </c>
      <c r="L235" s="367" t="s">
        <v>844</v>
      </c>
      <c r="M235" s="367" t="s">
        <v>845</v>
      </c>
      <c r="N235" s="367" t="s">
        <v>846</v>
      </c>
      <c r="O235" s="367" t="s">
        <v>722</v>
      </c>
      <c r="P235" s="367" t="s">
        <v>567</v>
      </c>
      <c r="Q235" s="367" t="str">
        <f t="shared" si="90"/>
        <v>FCCS_ClosingBalance_Input</v>
      </c>
      <c r="R235" s="367" t="s">
        <v>169</v>
      </c>
      <c r="S235" s="367" t="s">
        <v>848</v>
      </c>
      <c r="T235" s="367" t="s">
        <v>850</v>
      </c>
    </row>
    <row r="236" spans="2:20" x14ac:dyDescent="0.3">
      <c r="B236" s="364" t="s">
        <v>668</v>
      </c>
      <c r="C236" s="365" t="s">
        <v>421</v>
      </c>
      <c r="D236" s="366" t="str">
        <f>[2]!HsSetValue(E236,"FCC","Scenario#"&amp;R236&amp;";Years#"&amp;J236&amp;";Period#"&amp;I236&amp;";View#"&amp;S236&amp;";Entity#"&amp;H236&amp;";Data Source#"&amp;K236&amp;";Account#"&amp;F236&amp;";Intercompany#"&amp;L236&amp;";Movement#"&amp;Q236&amp;";Consolidation#"&amp;T236&amp;";Custom1#"&amp;M236&amp;";Custom2#"&amp;N236&amp;";Custom3#"&amp;O236&amp;";Custom4#"&amp;P236&amp;"")</f>
        <v>#Invalid Syntax</v>
      </c>
      <c r="E236" s="366">
        <f>SUMIF('Investment Analysis'!$E$22:$E$69,'FCC Investments - Load Tab'!C234,'Investment Analysis'!$M$22:$M$69)</f>
        <v>0</v>
      </c>
      <c r="F236" s="367" t="s">
        <v>673</v>
      </c>
      <c r="G236" s="367" t="s">
        <v>689</v>
      </c>
      <c r="H236" s="368" t="e">
        <f>+H$2</f>
        <v>#N/A</v>
      </c>
      <c r="I236" s="368" t="str">
        <f t="shared" si="89"/>
        <v>Jun</v>
      </c>
      <c r="J236" s="367" t="str">
        <f t="shared" si="89"/>
        <v>FY25</v>
      </c>
      <c r="K236" s="367" t="s">
        <v>843</v>
      </c>
      <c r="L236" s="367" t="s">
        <v>844</v>
      </c>
      <c r="M236" s="367" t="s">
        <v>845</v>
      </c>
      <c r="N236" s="367" t="s">
        <v>846</v>
      </c>
      <c r="O236" s="367" t="s">
        <v>723</v>
      </c>
      <c r="P236" s="367" t="s">
        <v>567</v>
      </c>
      <c r="Q236" s="367" t="str">
        <f t="shared" si="90"/>
        <v>FCCS_ClosingBalance_Input</v>
      </c>
      <c r="R236" s="367" t="s">
        <v>169</v>
      </c>
      <c r="S236" s="367" t="s">
        <v>848</v>
      </c>
      <c r="T236" s="367" t="s">
        <v>850</v>
      </c>
    </row>
    <row r="237" spans="2:20" x14ac:dyDescent="0.3">
      <c r="B237" s="364" t="s">
        <v>668</v>
      </c>
      <c r="C237" s="365" t="s">
        <v>421</v>
      </c>
      <c r="D237" s="366" t="str">
        <f>[2]!HsSetValue(E237,"FCC","Scenario#"&amp;R237&amp;";Years#"&amp;J237&amp;";Period#"&amp;I237&amp;";View#"&amp;S237&amp;";Entity#"&amp;H237&amp;";Data Source#"&amp;K237&amp;";Account#"&amp;F237&amp;";Intercompany#"&amp;L237&amp;";Movement#"&amp;Q237&amp;";Consolidation#"&amp;T237&amp;";Custom1#"&amp;M237&amp;";Custom2#"&amp;N237&amp;";Custom3#"&amp;O237&amp;";Custom4#"&amp;P237&amp;"")</f>
        <v>#Invalid Syntax</v>
      </c>
      <c r="E237" s="366">
        <f>SUMIF('Investment Analysis'!$E$22:$E$69,'FCC Investments - Load Tab'!C237,'Investment Analysis'!$N$22:$N$69)</f>
        <v>0</v>
      </c>
      <c r="F237" s="367" t="s">
        <v>673</v>
      </c>
      <c r="G237" s="367" t="s">
        <v>689</v>
      </c>
      <c r="H237" s="368" t="e">
        <f>+H$2</f>
        <v>#N/A</v>
      </c>
      <c r="I237" s="368" t="str">
        <f t="shared" si="89"/>
        <v>Jun</v>
      </c>
      <c r="J237" s="367" t="str">
        <f t="shared" si="89"/>
        <v>FY25</v>
      </c>
      <c r="K237" s="367" t="s">
        <v>843</v>
      </c>
      <c r="L237" s="367" t="s">
        <v>844</v>
      </c>
      <c r="M237" s="367" t="s">
        <v>845</v>
      </c>
      <c r="N237" s="367" t="s">
        <v>846</v>
      </c>
      <c r="O237" s="367" t="s">
        <v>724</v>
      </c>
      <c r="P237" s="367" t="s">
        <v>567</v>
      </c>
      <c r="Q237" s="367" t="str">
        <f t="shared" si="90"/>
        <v>FCCS_ClosingBalance_Input</v>
      </c>
      <c r="R237" s="367" t="s">
        <v>169</v>
      </c>
      <c r="S237" s="367" t="s">
        <v>848</v>
      </c>
      <c r="T237" s="367" t="s">
        <v>850</v>
      </c>
    </row>
    <row r="238" spans="2:20" x14ac:dyDescent="0.3">
      <c r="B238" s="364" t="s">
        <v>668</v>
      </c>
      <c r="C238" s="365" t="s">
        <v>421</v>
      </c>
      <c r="D238" s="366" t="str">
        <f>[2]!HsSetValue(E238,"FCC","Scenario#"&amp;R238&amp;";Years#"&amp;J238&amp;";Period#"&amp;I238&amp;";View#"&amp;S238&amp;";Entity#"&amp;H238&amp;";Data Source#"&amp;K238&amp;";Account#"&amp;F238&amp;";Intercompany#"&amp;L238&amp;";Movement#"&amp;Q238&amp;";Consolidation#"&amp;T238&amp;";Custom1#"&amp;M238&amp;";Custom2#"&amp;N238&amp;";Custom3#"&amp;O238&amp;";Custom4#"&amp;P238&amp;"")</f>
        <v>#Invalid Syntax</v>
      </c>
      <c r="E238" s="366">
        <f>SUMIF('Investment Analysis'!$E$2:$E$69,'FCC Investments - Load Tab'!C238,'Investment Analysis'!$O$2:$O$69)</f>
        <v>0</v>
      </c>
      <c r="F238" s="367" t="s">
        <v>673</v>
      </c>
      <c r="G238" s="367" t="s">
        <v>689</v>
      </c>
      <c r="H238" s="368" t="e">
        <f>+H$2</f>
        <v>#N/A</v>
      </c>
      <c r="I238" s="368" t="str">
        <f t="shared" si="89"/>
        <v>Jun</v>
      </c>
      <c r="J238" s="367" t="str">
        <f t="shared" si="89"/>
        <v>FY25</v>
      </c>
      <c r="K238" s="367" t="s">
        <v>843</v>
      </c>
      <c r="L238" s="367" t="s">
        <v>844</v>
      </c>
      <c r="M238" s="367" t="s">
        <v>845</v>
      </c>
      <c r="N238" s="367" t="s">
        <v>846</v>
      </c>
      <c r="O238" s="367" t="s">
        <v>725</v>
      </c>
      <c r="P238" s="367" t="s">
        <v>567</v>
      </c>
      <c r="Q238" s="367" t="str">
        <f t="shared" si="90"/>
        <v>FCCS_ClosingBalance_Input</v>
      </c>
      <c r="R238" s="367" t="s">
        <v>169</v>
      </c>
      <c r="S238" s="367" t="s">
        <v>848</v>
      </c>
      <c r="T238" s="367" t="s">
        <v>850</v>
      </c>
    </row>
    <row r="239" spans="2:20" x14ac:dyDescent="0.3">
      <c r="B239" s="210"/>
      <c r="C239" s="211"/>
      <c r="D239" s="212"/>
      <c r="E239" s="212"/>
    </row>
    <row r="240" spans="2:20" x14ac:dyDescent="0.3">
      <c r="B240" s="214" t="s">
        <v>667</v>
      </c>
      <c r="C240" s="215" t="s">
        <v>421</v>
      </c>
      <c r="D240" s="216" t="str">
        <f>[2]!HsSetValue(E240,"FCC","Scenario#"&amp;R240&amp;";Years#"&amp;J240&amp;";Period#"&amp;I240&amp;";View#"&amp;S240&amp;";Entity#"&amp;H240&amp;";Data Source#"&amp;K240&amp;";Account#"&amp;F240&amp;";Intercompany#"&amp;L240&amp;";Movement#"&amp;Q240&amp;";Consolidation#"&amp;T240&amp;";Custom1#"&amp;M240&amp;";Custom2#"&amp;N240&amp;";Custom3#"&amp;O240&amp;";Custom4#"&amp;P240&amp;"")</f>
        <v>#Invalid Syntax</v>
      </c>
      <c r="E240" s="216">
        <f>SUMIFS('Investment Analysis'!$H$22:$H$69,'Investment Analysis'!$E$22:$E$69,"Corporate Debt-International",'Investment Analysis'!$AB$22:$AB$69,"10")</f>
        <v>0</v>
      </c>
      <c r="F240" s="217" t="s">
        <v>674</v>
      </c>
      <c r="G240" s="217" t="s">
        <v>1050</v>
      </c>
      <c r="H240" s="218" t="e">
        <f t="shared" ref="H240:N253" si="91">+H$2</f>
        <v>#N/A</v>
      </c>
      <c r="I240" s="218" t="str">
        <f t="shared" si="91"/>
        <v>Jun</v>
      </c>
      <c r="J240" s="217" t="str">
        <f t="shared" si="91"/>
        <v>FY25</v>
      </c>
      <c r="K240" s="217" t="s">
        <v>843</v>
      </c>
      <c r="L240" s="217" t="s">
        <v>844</v>
      </c>
      <c r="M240" s="217" t="s">
        <v>845</v>
      </c>
      <c r="N240" s="217" t="s">
        <v>846</v>
      </c>
      <c r="O240" s="217" t="s">
        <v>433</v>
      </c>
      <c r="P240" s="217" t="s">
        <v>567</v>
      </c>
      <c r="Q240" s="217" t="str">
        <f t="shared" ref="Q240:Q253" si="92">Q$2</f>
        <v>FCCS_ClosingBalance_Input</v>
      </c>
      <c r="R240" s="217" t="s">
        <v>169</v>
      </c>
      <c r="S240" s="217" t="s">
        <v>848</v>
      </c>
      <c r="T240" s="217" t="s">
        <v>850</v>
      </c>
    </row>
    <row r="241" spans="2:20" x14ac:dyDescent="0.3">
      <c r="B241" s="214" t="s">
        <v>667</v>
      </c>
      <c r="C241" s="215" t="s">
        <v>421</v>
      </c>
      <c r="D241" s="216" t="str">
        <f>[2]!HsSetValue(E241,"FCC","Scenario#"&amp;R241&amp;";Years#"&amp;J241&amp;";Period#"&amp;I241&amp;";View#"&amp;S241&amp;";Entity#"&amp;H241&amp;";Data Source#"&amp;K241&amp;";Account#"&amp;F241&amp;";Intercompany#"&amp;L241&amp;";Movement#"&amp;Q241&amp;";Consolidation#"&amp;T241&amp;";Custom1#"&amp;M241&amp;";Custom2#"&amp;N241&amp;";Custom3#"&amp;O241&amp;";Custom4#"&amp;P241&amp;"")</f>
        <v>#Invalid Syntax</v>
      </c>
      <c r="E241" s="216">
        <f>SUMIFS('Investment Analysis'!$H$22:$H$69,'Investment Analysis'!$E$22:$E$69,"Corporate Debt-International",'Investment Analysis'!$AB$22:$AB$69,"9")</f>
        <v>0</v>
      </c>
      <c r="F241" s="217" t="s">
        <v>674</v>
      </c>
      <c r="G241" s="217" t="s">
        <v>1050</v>
      </c>
      <c r="H241" s="218" t="e">
        <f t="shared" si="91"/>
        <v>#N/A</v>
      </c>
      <c r="I241" s="218" t="str">
        <f t="shared" si="91"/>
        <v>Jun</v>
      </c>
      <c r="J241" s="217" t="str">
        <f t="shared" si="91"/>
        <v>FY25</v>
      </c>
      <c r="K241" s="217" t="s">
        <v>843</v>
      </c>
      <c r="L241" s="217" t="s">
        <v>844</v>
      </c>
      <c r="M241" s="217" t="s">
        <v>845</v>
      </c>
      <c r="N241" s="217" t="s">
        <v>846</v>
      </c>
      <c r="O241" s="217" t="s">
        <v>596</v>
      </c>
      <c r="P241" s="217" t="s">
        <v>567</v>
      </c>
      <c r="Q241" s="217" t="str">
        <f t="shared" si="92"/>
        <v>FCCS_ClosingBalance_Input</v>
      </c>
      <c r="R241" s="217" t="s">
        <v>169</v>
      </c>
      <c r="S241" s="217" t="s">
        <v>848</v>
      </c>
      <c r="T241" s="217" t="s">
        <v>850</v>
      </c>
    </row>
    <row r="242" spans="2:20" x14ac:dyDescent="0.3">
      <c r="B242" s="214" t="s">
        <v>667</v>
      </c>
      <c r="C242" s="215" t="s">
        <v>421</v>
      </c>
      <c r="D242" s="216" t="str">
        <f>[2]!HsSetValue(E242,"FCC","Scenario#"&amp;R242&amp;";Years#"&amp;J242&amp;";Period#"&amp;I242&amp;";View#"&amp;S242&amp;";Entity#"&amp;H242&amp;";Data Source#"&amp;K242&amp;";Account#"&amp;F242&amp;";Intercompany#"&amp;L242&amp;";Movement#"&amp;Q242&amp;";Consolidation#"&amp;T242&amp;";Custom1#"&amp;M242&amp;";Custom2#"&amp;N242&amp;";Custom3#"&amp;O242&amp;";Custom4#"&amp;P242&amp;"")</f>
        <v>#Invalid Syntax</v>
      </c>
      <c r="E242" s="216">
        <f>SUMIFS('Investment Analysis'!$H$22:$H$69,'Investment Analysis'!$E$22:$E$69,"Corporate Debt-International",'Investment Analysis'!$AB$22:$AB$69,"8")</f>
        <v>0</v>
      </c>
      <c r="F242" s="217" t="s">
        <v>674</v>
      </c>
      <c r="G242" s="217" t="s">
        <v>1050</v>
      </c>
      <c r="H242" s="218" t="e">
        <f t="shared" si="91"/>
        <v>#N/A</v>
      </c>
      <c r="I242" s="218" t="str">
        <f t="shared" si="91"/>
        <v>Jun</v>
      </c>
      <c r="J242" s="217" t="str">
        <f t="shared" si="91"/>
        <v>FY25</v>
      </c>
      <c r="K242" s="217" t="s">
        <v>843</v>
      </c>
      <c r="L242" s="217" t="s">
        <v>844</v>
      </c>
      <c r="M242" s="217" t="s">
        <v>845</v>
      </c>
      <c r="N242" s="217" t="s">
        <v>846</v>
      </c>
      <c r="O242" s="217" t="s">
        <v>61</v>
      </c>
      <c r="P242" s="217" t="s">
        <v>567</v>
      </c>
      <c r="Q242" s="217" t="str">
        <f t="shared" si="92"/>
        <v>FCCS_ClosingBalance_Input</v>
      </c>
      <c r="R242" s="217" t="s">
        <v>169</v>
      </c>
      <c r="S242" s="217" t="s">
        <v>848</v>
      </c>
      <c r="T242" s="217" t="s">
        <v>850</v>
      </c>
    </row>
    <row r="243" spans="2:20" x14ac:dyDescent="0.3">
      <c r="B243" s="214" t="s">
        <v>667</v>
      </c>
      <c r="C243" s="215" t="s">
        <v>421</v>
      </c>
      <c r="D243" s="216" t="str">
        <f>[2]!HsSetValue(E243,"FCC","Scenario#"&amp;R243&amp;";Years#"&amp;J243&amp;";Period#"&amp;I243&amp;";View#"&amp;S243&amp;";Entity#"&amp;H243&amp;";Data Source#"&amp;K243&amp;";Account#"&amp;F243&amp;";Intercompany#"&amp;L243&amp;";Movement#"&amp;Q243&amp;";Consolidation#"&amp;T243&amp;";Custom1#"&amp;M243&amp;";Custom2#"&amp;N243&amp;";Custom3#"&amp;O243&amp;";Custom4#"&amp;P243&amp;"")</f>
        <v>#Invalid Syntax</v>
      </c>
      <c r="E243" s="216">
        <f>SUMIFS('Investment Analysis'!$H$22:$H$69,'Investment Analysis'!$E$22:$E$69,"Corporate Debt-International",'Investment Analysis'!$AB$22:$AB$69,"7")</f>
        <v>0</v>
      </c>
      <c r="F243" s="217" t="s">
        <v>674</v>
      </c>
      <c r="G243" s="217" t="s">
        <v>1050</v>
      </c>
      <c r="H243" s="218" t="e">
        <f t="shared" si="91"/>
        <v>#N/A</v>
      </c>
      <c r="I243" s="218" t="str">
        <f t="shared" si="91"/>
        <v>Jun</v>
      </c>
      <c r="J243" s="217" t="str">
        <f t="shared" si="91"/>
        <v>FY25</v>
      </c>
      <c r="K243" s="217" t="s">
        <v>843</v>
      </c>
      <c r="L243" s="217" t="s">
        <v>844</v>
      </c>
      <c r="M243" s="217" t="s">
        <v>845</v>
      </c>
      <c r="N243" s="217" t="s">
        <v>846</v>
      </c>
      <c r="O243" s="217" t="s">
        <v>62</v>
      </c>
      <c r="P243" s="217" t="s">
        <v>567</v>
      </c>
      <c r="Q243" s="217" t="str">
        <f t="shared" si="92"/>
        <v>FCCS_ClosingBalance_Input</v>
      </c>
      <c r="R243" s="217" t="s">
        <v>169</v>
      </c>
      <c r="S243" s="217" t="s">
        <v>848</v>
      </c>
      <c r="T243" s="217" t="s">
        <v>850</v>
      </c>
    </row>
    <row r="244" spans="2:20" x14ac:dyDescent="0.3">
      <c r="B244" s="214" t="s">
        <v>667</v>
      </c>
      <c r="C244" s="215" t="s">
        <v>421</v>
      </c>
      <c r="D244" s="216" t="str">
        <f>[2]!HsSetValue(E244,"FCC","Scenario#"&amp;R244&amp;";Years#"&amp;J244&amp;";Period#"&amp;I244&amp;";View#"&amp;S244&amp;";Entity#"&amp;H244&amp;";Data Source#"&amp;K244&amp;";Account#"&amp;F244&amp;";Intercompany#"&amp;L244&amp;";Movement#"&amp;Q244&amp;";Consolidation#"&amp;T244&amp;";Custom1#"&amp;M244&amp;";Custom2#"&amp;N244&amp;";Custom3#"&amp;O244&amp;";Custom4#"&amp;P244&amp;"")</f>
        <v>#Invalid Syntax</v>
      </c>
      <c r="E244" s="216">
        <f>SUMIFS('Investment Analysis'!$H$22:$H$69,'Investment Analysis'!$E$22:$E$69,"Corporate Debt-International",'Investment Analysis'!$AB$22:$AB$69,"6")</f>
        <v>0</v>
      </c>
      <c r="F244" s="217" t="s">
        <v>674</v>
      </c>
      <c r="G244" s="217" t="s">
        <v>1050</v>
      </c>
      <c r="H244" s="218" t="e">
        <f t="shared" si="91"/>
        <v>#N/A</v>
      </c>
      <c r="I244" s="218" t="str">
        <f t="shared" si="91"/>
        <v>Jun</v>
      </c>
      <c r="J244" s="217" t="str">
        <f t="shared" si="91"/>
        <v>FY25</v>
      </c>
      <c r="K244" s="217" t="s">
        <v>843</v>
      </c>
      <c r="L244" s="217" t="s">
        <v>844</v>
      </c>
      <c r="M244" s="217" t="s">
        <v>845</v>
      </c>
      <c r="N244" s="217" t="s">
        <v>846</v>
      </c>
      <c r="O244" s="217" t="s">
        <v>436</v>
      </c>
      <c r="P244" s="217" t="s">
        <v>567</v>
      </c>
      <c r="Q244" s="217" t="str">
        <f t="shared" si="92"/>
        <v>FCCS_ClosingBalance_Input</v>
      </c>
      <c r="R244" s="217" t="s">
        <v>169</v>
      </c>
      <c r="S244" s="217" t="s">
        <v>848</v>
      </c>
      <c r="T244" s="217" t="s">
        <v>850</v>
      </c>
    </row>
    <row r="245" spans="2:20" s="371" customFormat="1" x14ac:dyDescent="0.3">
      <c r="B245" s="214" t="s">
        <v>667</v>
      </c>
      <c r="C245" s="215" t="s">
        <v>421</v>
      </c>
      <c r="D245" s="216" t="str">
        <f>[2]!HsSetValue(E245,"FCC","Scenario#"&amp;R245&amp;";Years#"&amp;J245&amp;";Period#"&amp;I245&amp;";View#"&amp;S245&amp;";Entity#"&amp;H245&amp;";Data Source#"&amp;K245&amp;";Account#"&amp;F245&amp;";Intercompany#"&amp;L245&amp;";Movement#"&amp;Q245&amp;";Consolidation#"&amp;T245&amp;";Custom1#"&amp;M245&amp;";Custom2#"&amp;N245&amp;";Custom3#"&amp;O245&amp;";Custom4#"&amp;P245&amp;"")</f>
        <v>#Invalid Syntax</v>
      </c>
      <c r="E245" s="216">
        <f>SUMIFS('Investment Analysis'!$H$22:$H$69,'Investment Analysis'!$E$22:$E$69,"Corporate Debt-International",'Investment Analysis'!$AB$22:$AB$69,"5")</f>
        <v>0</v>
      </c>
      <c r="F245" s="217" t="s">
        <v>674</v>
      </c>
      <c r="G245" s="217" t="s">
        <v>1050</v>
      </c>
      <c r="H245" s="218" t="e">
        <f t="shared" si="91"/>
        <v>#N/A</v>
      </c>
      <c r="I245" s="218" t="str">
        <f t="shared" si="91"/>
        <v>Jun</v>
      </c>
      <c r="J245" s="217" t="str">
        <f t="shared" si="91"/>
        <v>FY25</v>
      </c>
      <c r="K245" s="217" t="str">
        <f t="shared" si="91"/>
        <v>FCCS_Other Data</v>
      </c>
      <c r="L245" s="217" t="str">
        <f t="shared" si="91"/>
        <v>FCCS_No Intercompany</v>
      </c>
      <c r="M245" s="217" t="str">
        <f>+M$1</f>
        <v>No Custom1</v>
      </c>
      <c r="N245" s="217" t="str">
        <f t="shared" si="91"/>
        <v>No Custom2</v>
      </c>
      <c r="O245" s="217" t="s">
        <v>434</v>
      </c>
      <c r="P245" s="217" t="s">
        <v>567</v>
      </c>
      <c r="Q245" s="217" t="str">
        <f t="shared" si="92"/>
        <v>FCCS_ClosingBalance_Input</v>
      </c>
      <c r="R245" s="217" t="str">
        <f t="shared" ref="R245:S249" si="93">+R$2</f>
        <v>Actual</v>
      </c>
      <c r="S245" s="217" t="str">
        <f t="shared" si="93"/>
        <v>FCCS_YTD_Input</v>
      </c>
      <c r="T245" s="217" t="s">
        <v>850</v>
      </c>
    </row>
    <row r="246" spans="2:20" s="371" customFormat="1" x14ac:dyDescent="0.3">
      <c r="B246" s="214" t="s">
        <v>667</v>
      </c>
      <c r="C246" s="215" t="s">
        <v>421</v>
      </c>
      <c r="D246" s="216" t="str">
        <f>[2]!HsSetValue(E246,"FCC","Scenario#"&amp;R246&amp;";Years#"&amp;J246&amp;";Period#"&amp;I246&amp;";View#"&amp;S246&amp;";Entity#"&amp;H246&amp;";Data Source#"&amp;K246&amp;";Account#"&amp;F246&amp;";Intercompany#"&amp;L246&amp;";Movement#"&amp;Q246&amp;";Consolidation#"&amp;T246&amp;";Custom1#"&amp;M246&amp;";Custom2#"&amp;N246&amp;";Custom3#"&amp;O246&amp;";Custom4#"&amp;P246&amp;"")</f>
        <v>#Invalid Syntax</v>
      </c>
      <c r="E246" s="216">
        <f>SUMIFS('Investment Analysis'!$H$22:$H$69,'Investment Analysis'!$E$22:$E$69,"Corporate Debt-International",'Investment Analysis'!$AB$22:$AB$69,"4")</f>
        <v>0</v>
      </c>
      <c r="F246" s="217" t="s">
        <v>674</v>
      </c>
      <c r="G246" s="217" t="s">
        <v>1050</v>
      </c>
      <c r="H246" s="218" t="e">
        <f t="shared" si="91"/>
        <v>#N/A</v>
      </c>
      <c r="I246" s="218" t="str">
        <f t="shared" si="91"/>
        <v>Jun</v>
      </c>
      <c r="J246" s="217" t="str">
        <f t="shared" si="91"/>
        <v>FY25</v>
      </c>
      <c r="K246" s="217" t="str">
        <f t="shared" si="91"/>
        <v>FCCS_Other Data</v>
      </c>
      <c r="L246" s="217" t="str">
        <f t="shared" si="91"/>
        <v>FCCS_No Intercompany</v>
      </c>
      <c r="M246" s="217" t="str">
        <f>+M$1</f>
        <v>No Custom1</v>
      </c>
      <c r="N246" s="217" t="str">
        <f t="shared" si="91"/>
        <v>No Custom2</v>
      </c>
      <c r="O246" s="217" t="s">
        <v>63</v>
      </c>
      <c r="P246" s="217" t="s">
        <v>567</v>
      </c>
      <c r="Q246" s="217" t="str">
        <f t="shared" si="92"/>
        <v>FCCS_ClosingBalance_Input</v>
      </c>
      <c r="R246" s="217" t="str">
        <f t="shared" si="93"/>
        <v>Actual</v>
      </c>
      <c r="S246" s="217" t="str">
        <f t="shared" si="93"/>
        <v>FCCS_YTD_Input</v>
      </c>
      <c r="T246" s="217" t="s">
        <v>850</v>
      </c>
    </row>
    <row r="247" spans="2:20" s="371" customFormat="1" x14ac:dyDescent="0.3">
      <c r="B247" s="214" t="s">
        <v>667</v>
      </c>
      <c r="C247" s="215" t="s">
        <v>421</v>
      </c>
      <c r="D247" s="216" t="str">
        <f>[2]!HsSetValue(E247,"FCC","Scenario#"&amp;R247&amp;";Years#"&amp;J247&amp;";Period#"&amp;I247&amp;";View#"&amp;S247&amp;";Entity#"&amp;H247&amp;";Data Source#"&amp;K247&amp;";Account#"&amp;F247&amp;";Intercompany#"&amp;L247&amp;";Movement#"&amp;Q247&amp;";Consolidation#"&amp;T247&amp;";Custom1#"&amp;M247&amp;";Custom2#"&amp;N247&amp;";Custom3#"&amp;O247&amp;";Custom4#"&amp;P247&amp;"")</f>
        <v>#Invalid Syntax</v>
      </c>
      <c r="E247" s="216">
        <f>SUMIFS('Investment Analysis'!$H$22:$H$69,'Investment Analysis'!$E$22:$E$69,"Corporate Debt-International",'Investment Analysis'!$AB$22:$AB$69,"3")</f>
        <v>0</v>
      </c>
      <c r="F247" s="217" t="s">
        <v>674</v>
      </c>
      <c r="G247" s="217" t="s">
        <v>1050</v>
      </c>
      <c r="H247" s="218" t="e">
        <f t="shared" si="91"/>
        <v>#N/A</v>
      </c>
      <c r="I247" s="218" t="str">
        <f t="shared" si="91"/>
        <v>Jun</v>
      </c>
      <c r="J247" s="217" t="str">
        <f t="shared" si="91"/>
        <v>FY25</v>
      </c>
      <c r="K247" s="217" t="str">
        <f t="shared" si="91"/>
        <v>FCCS_Other Data</v>
      </c>
      <c r="L247" s="217" t="str">
        <f t="shared" si="91"/>
        <v>FCCS_No Intercompany</v>
      </c>
      <c r="M247" s="217" t="str">
        <f>+M$1</f>
        <v>No Custom1</v>
      </c>
      <c r="N247" s="217" t="str">
        <f t="shared" si="91"/>
        <v>No Custom2</v>
      </c>
      <c r="O247" s="217" t="s">
        <v>622</v>
      </c>
      <c r="P247" s="217" t="s">
        <v>567</v>
      </c>
      <c r="Q247" s="217" t="str">
        <f t="shared" si="92"/>
        <v>FCCS_ClosingBalance_Input</v>
      </c>
      <c r="R247" s="217" t="str">
        <f t="shared" si="93"/>
        <v>Actual</v>
      </c>
      <c r="S247" s="217" t="str">
        <f t="shared" si="93"/>
        <v>FCCS_YTD_Input</v>
      </c>
      <c r="T247" s="217" t="s">
        <v>850</v>
      </c>
    </row>
    <row r="248" spans="2:20" s="371" customFormat="1" x14ac:dyDescent="0.3">
      <c r="B248" s="214" t="s">
        <v>667</v>
      </c>
      <c r="C248" s="215" t="s">
        <v>421</v>
      </c>
      <c r="D248" s="216" t="str">
        <f>[2]!HsSetValue(E248,"FCC","Scenario#"&amp;R248&amp;";Years#"&amp;J248&amp;";Period#"&amp;I248&amp;";View#"&amp;S248&amp;";Entity#"&amp;H248&amp;";Data Source#"&amp;K248&amp;";Account#"&amp;F248&amp;";Intercompany#"&amp;L248&amp;";Movement#"&amp;Q248&amp;";Consolidation#"&amp;T248&amp;";Custom1#"&amp;M248&amp;";Custom2#"&amp;N248&amp;";Custom3#"&amp;O248&amp;";Custom4#"&amp;P248&amp;"")</f>
        <v>#Invalid Syntax</v>
      </c>
      <c r="E248" s="216">
        <f>SUMIFS('Investment Analysis'!$H$22:$H$69,'Investment Analysis'!$E$22:$E$69,"Corporate Debt-International",'Investment Analysis'!$AB$22:$AB$69,"2")</f>
        <v>0</v>
      </c>
      <c r="F248" s="217" t="s">
        <v>674</v>
      </c>
      <c r="G248" s="217" t="s">
        <v>1050</v>
      </c>
      <c r="H248" s="218" t="e">
        <f t="shared" si="91"/>
        <v>#N/A</v>
      </c>
      <c r="I248" s="218" t="str">
        <f t="shared" si="91"/>
        <v>Jun</v>
      </c>
      <c r="J248" s="217" t="str">
        <f t="shared" si="91"/>
        <v>FY25</v>
      </c>
      <c r="K248" s="217" t="str">
        <f t="shared" si="91"/>
        <v>FCCS_Other Data</v>
      </c>
      <c r="L248" s="217" t="str">
        <f t="shared" si="91"/>
        <v>FCCS_No Intercompany</v>
      </c>
      <c r="M248" s="217" t="str">
        <f>+M$1</f>
        <v>No Custom1</v>
      </c>
      <c r="N248" s="217" t="str">
        <f t="shared" si="91"/>
        <v>No Custom2</v>
      </c>
      <c r="O248" s="217" t="s">
        <v>618</v>
      </c>
      <c r="P248" s="217" t="s">
        <v>567</v>
      </c>
      <c r="Q248" s="217" t="str">
        <f t="shared" si="92"/>
        <v>FCCS_ClosingBalance_Input</v>
      </c>
      <c r="R248" s="217" t="str">
        <f t="shared" si="93"/>
        <v>Actual</v>
      </c>
      <c r="S248" s="217" t="str">
        <f t="shared" si="93"/>
        <v>FCCS_YTD_Input</v>
      </c>
      <c r="T248" s="217" t="s">
        <v>850</v>
      </c>
    </row>
    <row r="249" spans="2:20" s="371" customFormat="1" x14ac:dyDescent="0.3">
      <c r="B249" s="214" t="s">
        <v>667</v>
      </c>
      <c r="C249" s="215" t="s">
        <v>421</v>
      </c>
      <c r="D249" s="216" t="str">
        <f>[2]!HsSetValue(E249,"FCC","Scenario#"&amp;R249&amp;";Years#"&amp;J249&amp;";Period#"&amp;I249&amp;";View#"&amp;S249&amp;";Entity#"&amp;H249&amp;";Data Source#"&amp;K249&amp;";Account#"&amp;F249&amp;";Intercompany#"&amp;L249&amp;";Movement#"&amp;Q249&amp;";Consolidation#"&amp;T249&amp;";Custom1#"&amp;M249&amp;";Custom2#"&amp;N249&amp;";Custom3#"&amp;O249&amp;";Custom4#"&amp;P249&amp;"")</f>
        <v>#Invalid Syntax</v>
      </c>
      <c r="E249" s="216">
        <f>SUMIFS('Investment Analysis'!$H$22:$H$69,'Investment Analysis'!$E$22:$E$69,"Corporate Debt-International",'Investment Analysis'!$AB$22:$AB$69,"1")</f>
        <v>0</v>
      </c>
      <c r="F249" s="217" t="s">
        <v>674</v>
      </c>
      <c r="G249" s="217" t="s">
        <v>1050</v>
      </c>
      <c r="H249" s="218" t="e">
        <f t="shared" si="91"/>
        <v>#N/A</v>
      </c>
      <c r="I249" s="218" t="str">
        <f t="shared" si="91"/>
        <v>Jun</v>
      </c>
      <c r="J249" s="217" t="str">
        <f t="shared" si="91"/>
        <v>FY25</v>
      </c>
      <c r="K249" s="217" t="str">
        <f t="shared" si="91"/>
        <v>FCCS_Other Data</v>
      </c>
      <c r="L249" s="217" t="str">
        <f t="shared" si="91"/>
        <v>FCCS_No Intercompany</v>
      </c>
      <c r="M249" s="217" t="str">
        <f>+M$1</f>
        <v>No Custom1</v>
      </c>
      <c r="N249" s="217" t="str">
        <f t="shared" si="91"/>
        <v>No Custom2</v>
      </c>
      <c r="O249" s="217" t="s">
        <v>64</v>
      </c>
      <c r="P249" s="217" t="s">
        <v>567</v>
      </c>
      <c r="Q249" s="217" t="str">
        <f t="shared" si="92"/>
        <v>FCCS_ClosingBalance_Input</v>
      </c>
      <c r="R249" s="217" t="str">
        <f t="shared" si="93"/>
        <v>Actual</v>
      </c>
      <c r="S249" s="217" t="str">
        <f t="shared" si="93"/>
        <v>FCCS_YTD_Input</v>
      </c>
      <c r="T249" s="217" t="s">
        <v>850</v>
      </c>
    </row>
    <row r="250" spans="2:20" x14ac:dyDescent="0.3">
      <c r="B250" s="214" t="s">
        <v>667</v>
      </c>
      <c r="C250" s="215" t="s">
        <v>421</v>
      </c>
      <c r="D250" s="216" t="str">
        <f>[2]!HsSetValue(E250,"FCC","Scenario#"&amp;R250&amp;";Years#"&amp;J250&amp;";Period#"&amp;I250&amp;";View#"&amp;S250&amp;";Entity#"&amp;H250&amp;";Data Source#"&amp;K250&amp;";Account#"&amp;F250&amp;";Intercompany#"&amp;L250&amp;";Movement#"&amp;Q250&amp;";Consolidation#"&amp;T250&amp;";Custom1#"&amp;M250&amp;";Custom2#"&amp;N250&amp;";Custom3#"&amp;O250&amp;";Custom4#"&amp;P250&amp;"")</f>
        <v>#Invalid Syntax</v>
      </c>
      <c r="E250" s="216">
        <f>SUMIFS('Investment Analysis'!$H$22:$H$69,'Investment Analysis'!$E$22:$E$69,"Corporate Debt-International",'Investment Analysis'!$AI$22:$AI$69,"16")</f>
        <v>0</v>
      </c>
      <c r="F250" s="217" t="s">
        <v>674</v>
      </c>
      <c r="G250" s="217" t="s">
        <v>1050</v>
      </c>
      <c r="H250" s="218" t="e">
        <f t="shared" si="91"/>
        <v>#N/A</v>
      </c>
      <c r="I250" s="218" t="str">
        <f t="shared" si="91"/>
        <v>Jun</v>
      </c>
      <c r="J250" s="217" t="str">
        <f t="shared" si="91"/>
        <v>FY25</v>
      </c>
      <c r="K250" s="217" t="s">
        <v>843</v>
      </c>
      <c r="L250" s="217" t="s">
        <v>844</v>
      </c>
      <c r="M250" s="217" t="s">
        <v>845</v>
      </c>
      <c r="N250" s="217" t="s">
        <v>846</v>
      </c>
      <c r="O250" s="217" t="s">
        <v>726</v>
      </c>
      <c r="P250" s="217" t="s">
        <v>567</v>
      </c>
      <c r="Q250" s="217" t="str">
        <f t="shared" si="92"/>
        <v>FCCS_ClosingBalance_Input</v>
      </c>
      <c r="R250" s="217" t="s">
        <v>169</v>
      </c>
      <c r="S250" s="217" t="s">
        <v>848</v>
      </c>
      <c r="T250" s="217" t="s">
        <v>850</v>
      </c>
    </row>
    <row r="251" spans="2:20" x14ac:dyDescent="0.3">
      <c r="B251" s="214" t="s">
        <v>667</v>
      </c>
      <c r="C251" s="215" t="s">
        <v>421</v>
      </c>
      <c r="D251" s="216" t="str">
        <f>[2]!HsSetValue(E251,"FCC","Scenario#"&amp;R251&amp;";Years#"&amp;J251&amp;";Period#"&amp;I251&amp;";View#"&amp;S251&amp;";Entity#"&amp;H251&amp;";Data Source#"&amp;K251&amp;";Account#"&amp;F251&amp;";Intercompany#"&amp;L251&amp;";Movement#"&amp;Q251&amp;";Consolidation#"&amp;T251&amp;";Custom1#"&amp;M251&amp;";Custom2#"&amp;N251&amp;";Custom3#"&amp;O251&amp;";Custom4#"&amp;P251&amp;"")</f>
        <v>#Invalid Syntax</v>
      </c>
      <c r="E251" s="216">
        <f>SUMIFS('Investment Analysis'!$H$22:$H$69,'Investment Analysis'!$E$22:$E$69,"Corporate Debt-International",'Investment Analysis'!$AI$22:$AI$69,"15")</f>
        <v>0</v>
      </c>
      <c r="F251" s="217" t="s">
        <v>674</v>
      </c>
      <c r="G251" s="217" t="s">
        <v>1050</v>
      </c>
      <c r="H251" s="218" t="e">
        <f t="shared" si="91"/>
        <v>#N/A</v>
      </c>
      <c r="I251" s="218" t="str">
        <f t="shared" si="91"/>
        <v>Jun</v>
      </c>
      <c r="J251" s="217" t="str">
        <f t="shared" si="91"/>
        <v>FY25</v>
      </c>
      <c r="K251" s="217" t="s">
        <v>843</v>
      </c>
      <c r="L251" s="217" t="s">
        <v>844</v>
      </c>
      <c r="M251" s="217" t="s">
        <v>845</v>
      </c>
      <c r="N251" s="217" t="s">
        <v>846</v>
      </c>
      <c r="O251" s="217" t="s">
        <v>727</v>
      </c>
      <c r="P251" s="217" t="s">
        <v>567</v>
      </c>
      <c r="Q251" s="217" t="str">
        <f t="shared" si="92"/>
        <v>FCCS_ClosingBalance_Input</v>
      </c>
      <c r="R251" s="217" t="s">
        <v>169</v>
      </c>
      <c r="S251" s="217" t="s">
        <v>848</v>
      </c>
      <c r="T251" s="217" t="s">
        <v>850</v>
      </c>
    </row>
    <row r="252" spans="2:20" x14ac:dyDescent="0.3">
      <c r="B252" s="214" t="s">
        <v>667</v>
      </c>
      <c r="C252" s="215" t="s">
        <v>421</v>
      </c>
      <c r="D252" s="216" t="str">
        <f>[2]!HsSetValue(E252,"FCC","Scenario#"&amp;R252&amp;";Years#"&amp;J252&amp;";Period#"&amp;I252&amp;";View#"&amp;S252&amp;";Entity#"&amp;H252&amp;";Data Source#"&amp;K252&amp;";Account#"&amp;F252&amp;";Intercompany#"&amp;L252&amp;";Movement#"&amp;Q252&amp;";Consolidation#"&amp;T252&amp;";Custom1#"&amp;M252&amp;";Custom2#"&amp;N252&amp;";Custom3#"&amp;O252&amp;";Custom4#"&amp;P252&amp;"")</f>
        <v>#Invalid Syntax</v>
      </c>
      <c r="E252" s="216">
        <f>SUMIFS('Investment Analysis'!$H$22:$H$69,'Investment Analysis'!$E$22:$E$69,"Corporate Debt-International",'Investment Analysis'!$AI$22:$AI$69,"14")</f>
        <v>0</v>
      </c>
      <c r="F252" s="217" t="s">
        <v>674</v>
      </c>
      <c r="G252" s="217" t="s">
        <v>1050</v>
      </c>
      <c r="H252" s="218" t="e">
        <f t="shared" si="91"/>
        <v>#N/A</v>
      </c>
      <c r="I252" s="218" t="str">
        <f t="shared" si="91"/>
        <v>Jun</v>
      </c>
      <c r="J252" s="217" t="str">
        <f t="shared" si="91"/>
        <v>FY25</v>
      </c>
      <c r="K252" s="217" t="s">
        <v>843</v>
      </c>
      <c r="L252" s="217" t="s">
        <v>844</v>
      </c>
      <c r="M252" s="217" t="s">
        <v>845</v>
      </c>
      <c r="N252" s="217" t="s">
        <v>846</v>
      </c>
      <c r="O252" s="217" t="s">
        <v>728</v>
      </c>
      <c r="P252" s="217" t="s">
        <v>567</v>
      </c>
      <c r="Q252" s="217" t="str">
        <f t="shared" si="92"/>
        <v>FCCS_ClosingBalance_Input</v>
      </c>
      <c r="R252" s="217" t="s">
        <v>169</v>
      </c>
      <c r="S252" s="217" t="s">
        <v>848</v>
      </c>
      <c r="T252" s="217" t="s">
        <v>850</v>
      </c>
    </row>
    <row r="253" spans="2:20" x14ac:dyDescent="0.3">
      <c r="B253" s="214" t="s">
        <v>667</v>
      </c>
      <c r="C253" s="215" t="s">
        <v>421</v>
      </c>
      <c r="D253" s="216" t="str">
        <f>[2]!HsSetValue(E253,"FCC","Scenario#"&amp;R253&amp;";Years#"&amp;J253&amp;";Period#"&amp;I253&amp;";View#"&amp;S253&amp;";Entity#"&amp;H253&amp;";Data Source#"&amp;K253&amp;";Account#"&amp;F253&amp;";Intercompany#"&amp;L253&amp;";Movement#"&amp;Q253&amp;";Consolidation#"&amp;T253&amp;";Custom1#"&amp;M253&amp;";Custom2#"&amp;N253&amp;";Custom3#"&amp;O253&amp;";Custom4#"&amp;P253&amp;"")</f>
        <v>#Invalid Syntax</v>
      </c>
      <c r="E253" s="216">
        <f>SUMIFS('Investment Analysis'!$H$22:$H$69,'Investment Analysis'!$E$22:$E$69,"Corporate Debt-International",'Investment Analysis'!$AB$22:$AB$69,"0")+SUMIFS('Investment Analysis'!$H$22:$H$69,'Investment Analysis'!$E$22:$E$69,"Corporate Debt-International",'Investment Analysis'!$AI$22:$AI$69,"0")</f>
        <v>0</v>
      </c>
      <c r="F253" s="217" t="s">
        <v>674</v>
      </c>
      <c r="G253" s="217" t="s">
        <v>1050</v>
      </c>
      <c r="H253" s="218" t="e">
        <f t="shared" si="91"/>
        <v>#N/A</v>
      </c>
      <c r="I253" s="218" t="str">
        <f t="shared" si="91"/>
        <v>Jun</v>
      </c>
      <c r="J253" s="217" t="str">
        <f t="shared" si="91"/>
        <v>FY25</v>
      </c>
      <c r="K253" s="217" t="s">
        <v>843</v>
      </c>
      <c r="L253" s="217" t="s">
        <v>844</v>
      </c>
      <c r="M253" s="217" t="s">
        <v>845</v>
      </c>
      <c r="N253" s="217" t="s">
        <v>846</v>
      </c>
      <c r="O253" s="217" t="s">
        <v>609</v>
      </c>
      <c r="P253" s="217" t="s">
        <v>567</v>
      </c>
      <c r="Q253" s="217" t="str">
        <f t="shared" si="92"/>
        <v>FCCS_ClosingBalance_Input</v>
      </c>
      <c r="R253" s="217" t="s">
        <v>169</v>
      </c>
      <c r="S253" s="217" t="s">
        <v>848</v>
      </c>
      <c r="T253" s="217" t="s">
        <v>850</v>
      </c>
    </row>
    <row r="254" spans="2:20" x14ac:dyDescent="0.3">
      <c r="B254" s="210"/>
      <c r="C254" s="211"/>
      <c r="D254" s="212"/>
      <c r="E254" s="212"/>
    </row>
    <row r="255" spans="2:20" x14ac:dyDescent="0.3">
      <c r="B255" s="219" t="s">
        <v>1014</v>
      </c>
      <c r="C255" s="220" t="s">
        <v>421</v>
      </c>
      <c r="D255" s="221" t="str">
        <f>[2]!HsSetValue(E255,"FCC","Scenario#"&amp;R255&amp;";Years#"&amp;J255&amp;";Period#"&amp;I255&amp;";View#"&amp;S255&amp;";Entity#"&amp;H255&amp;";Data Source#"&amp;K255&amp;";Account#"&amp;F255&amp;";Intercompany#"&amp;L255&amp;";Movement#"&amp;Q255&amp;";Consolidation#"&amp;T255&amp;";Custom1#"&amp;M255&amp;";Custom2#"&amp;N255&amp;";Custom3#"&amp;O255&amp;";Custom4#"&amp;P255&amp;"")</f>
        <v>#Invalid Syntax</v>
      </c>
      <c r="E255" s="221">
        <f>SUMIFS('Investment Analysis'!$H$22:$H$69,'Investment Analysis'!$E$22:$E$69,"Corporate Debt-International",'Investment Analysis'!$AK$22:$AK$69,"21")</f>
        <v>0</v>
      </c>
      <c r="F255" s="222" t="s">
        <v>675</v>
      </c>
      <c r="G255" s="222" t="s">
        <v>1020</v>
      </c>
      <c r="H255" s="223" t="e">
        <f>+H$2</f>
        <v>#N/A</v>
      </c>
      <c r="I255" s="223" t="str">
        <f t="shared" ref="I255:J259" si="94">+I$2</f>
        <v>Jun</v>
      </c>
      <c r="J255" s="222" t="str">
        <f t="shared" si="94"/>
        <v>FY25</v>
      </c>
      <c r="K255" s="222" t="s">
        <v>843</v>
      </c>
      <c r="L255" s="222" t="s">
        <v>844</v>
      </c>
      <c r="M255" s="222" t="s">
        <v>845</v>
      </c>
      <c r="N255" s="222" t="s">
        <v>846</v>
      </c>
      <c r="O255" s="222" t="s">
        <v>729</v>
      </c>
      <c r="P255" s="222" t="s">
        <v>567</v>
      </c>
      <c r="Q255" s="222" t="str">
        <f t="shared" ref="Q255:Q259" si="95">Q$2</f>
        <v>FCCS_ClosingBalance_Input</v>
      </c>
      <c r="R255" s="222" t="s">
        <v>169</v>
      </c>
      <c r="S255" s="222" t="s">
        <v>848</v>
      </c>
      <c r="T255" s="222" t="s">
        <v>850</v>
      </c>
    </row>
    <row r="256" spans="2:20" x14ac:dyDescent="0.3">
      <c r="B256" s="219" t="s">
        <v>1014</v>
      </c>
      <c r="C256" s="220" t="s">
        <v>421</v>
      </c>
      <c r="D256" s="221" t="str">
        <f>[2]!HsSetValue(E256,"FCC","Scenario#"&amp;R256&amp;";Years#"&amp;J256&amp;";Period#"&amp;I256&amp;";View#"&amp;S256&amp;";Entity#"&amp;H256&amp;";Data Source#"&amp;K256&amp;";Account#"&amp;F256&amp;";Intercompany#"&amp;L256&amp;";Movement#"&amp;Q256&amp;";Consolidation#"&amp;T256&amp;";Custom1#"&amp;M256&amp;";Custom2#"&amp;N256&amp;";Custom3#"&amp;O256&amp;";Custom4#"&amp;P256&amp;"")</f>
        <v>#Invalid Syntax</v>
      </c>
      <c r="E256" s="221">
        <f>SUMIFS('Investment Analysis'!$H$22:$H$69,'Investment Analysis'!$E$22:$E$69,"Corporate Debt-International",'Investment Analysis'!$AK$22:$AK$69,"22")</f>
        <v>0</v>
      </c>
      <c r="F256" s="222" t="s">
        <v>675</v>
      </c>
      <c r="G256" s="222" t="s">
        <v>1020</v>
      </c>
      <c r="H256" s="223" t="e">
        <f>+H$2</f>
        <v>#N/A</v>
      </c>
      <c r="I256" s="223" t="str">
        <f t="shared" si="94"/>
        <v>Jun</v>
      </c>
      <c r="J256" s="222" t="str">
        <f t="shared" si="94"/>
        <v>FY25</v>
      </c>
      <c r="K256" s="222" t="s">
        <v>843</v>
      </c>
      <c r="L256" s="222" t="s">
        <v>844</v>
      </c>
      <c r="M256" s="222" t="s">
        <v>845</v>
      </c>
      <c r="N256" s="222" t="s">
        <v>846</v>
      </c>
      <c r="O256" s="222" t="s">
        <v>730</v>
      </c>
      <c r="P256" s="222" t="s">
        <v>567</v>
      </c>
      <c r="Q256" s="222" t="str">
        <f t="shared" si="95"/>
        <v>FCCS_ClosingBalance_Input</v>
      </c>
      <c r="R256" s="222" t="s">
        <v>169</v>
      </c>
      <c r="S256" s="222" t="s">
        <v>848</v>
      </c>
      <c r="T256" s="222" t="s">
        <v>850</v>
      </c>
    </row>
    <row r="257" spans="2:20" x14ac:dyDescent="0.3">
      <c r="B257" s="219" t="s">
        <v>1014</v>
      </c>
      <c r="C257" s="220" t="s">
        <v>421</v>
      </c>
      <c r="D257" s="221" t="str">
        <f>[2]!HsSetValue(E257,"FCC","Scenario#"&amp;R257&amp;";Years#"&amp;J257&amp;";Period#"&amp;I257&amp;";View#"&amp;S257&amp;";Entity#"&amp;H257&amp;";Data Source#"&amp;K257&amp;";Account#"&amp;F257&amp;";Intercompany#"&amp;L257&amp;";Movement#"&amp;Q257&amp;";Consolidation#"&amp;T257&amp;";Custom1#"&amp;M257&amp;";Custom2#"&amp;N257&amp;";Custom3#"&amp;O257&amp;";Custom4#"&amp;P257&amp;"")</f>
        <v>#Invalid Syntax</v>
      </c>
      <c r="E257" s="221">
        <f>SUMIFS('Investment Analysis'!$H$22:$H$69,'Investment Analysis'!$E$22:$E$69,"Corporate Debt-International",'Investment Analysis'!$AK$22:$AK$69,"23")</f>
        <v>0</v>
      </c>
      <c r="F257" s="222" t="s">
        <v>675</v>
      </c>
      <c r="G257" s="222" t="s">
        <v>1020</v>
      </c>
      <c r="H257" s="223" t="e">
        <f>+H$2</f>
        <v>#N/A</v>
      </c>
      <c r="I257" s="223" t="str">
        <f t="shared" si="94"/>
        <v>Jun</v>
      </c>
      <c r="J257" s="222" t="str">
        <f t="shared" si="94"/>
        <v>FY25</v>
      </c>
      <c r="K257" s="222" t="s">
        <v>843</v>
      </c>
      <c r="L257" s="222" t="s">
        <v>844</v>
      </c>
      <c r="M257" s="222" t="s">
        <v>845</v>
      </c>
      <c r="N257" s="222" t="s">
        <v>846</v>
      </c>
      <c r="O257" s="222" t="s">
        <v>731</v>
      </c>
      <c r="P257" s="222" t="s">
        <v>567</v>
      </c>
      <c r="Q257" s="222" t="str">
        <f t="shared" si="95"/>
        <v>FCCS_ClosingBalance_Input</v>
      </c>
      <c r="R257" s="222" t="s">
        <v>169</v>
      </c>
      <c r="S257" s="222" t="s">
        <v>848</v>
      </c>
      <c r="T257" s="222" t="s">
        <v>850</v>
      </c>
    </row>
    <row r="258" spans="2:20" x14ac:dyDescent="0.3">
      <c r="B258" s="219" t="s">
        <v>1014</v>
      </c>
      <c r="C258" s="220" t="s">
        <v>421</v>
      </c>
      <c r="D258" s="221" t="str">
        <f>[2]!HsSetValue(E258,"FCC","Scenario#"&amp;R258&amp;";Years#"&amp;J258&amp;";Period#"&amp;I258&amp;";View#"&amp;S258&amp;";Entity#"&amp;H258&amp;";Data Source#"&amp;K258&amp;";Account#"&amp;F258&amp;";Intercompany#"&amp;L258&amp;";Movement#"&amp;Q258&amp;";Consolidation#"&amp;T258&amp;";Custom1#"&amp;M258&amp;";Custom2#"&amp;N258&amp;";Custom3#"&amp;O258&amp;";Custom4#"&amp;P258&amp;"")</f>
        <v>#Invalid Syntax</v>
      </c>
      <c r="E258" s="221">
        <f>SUMIFS('Investment Analysis'!$H$22:$H$69,'Investment Analysis'!$E$22:$E$69,"Corporate Debt-International",'Investment Analysis'!$AK$22:$AK$69,"24")</f>
        <v>0</v>
      </c>
      <c r="F258" s="222" t="s">
        <v>675</v>
      </c>
      <c r="G258" s="222" t="s">
        <v>1020</v>
      </c>
      <c r="H258" s="223" t="e">
        <f>+H$2</f>
        <v>#N/A</v>
      </c>
      <c r="I258" s="223" t="str">
        <f t="shared" si="94"/>
        <v>Jun</v>
      </c>
      <c r="J258" s="222" t="str">
        <f t="shared" si="94"/>
        <v>FY25</v>
      </c>
      <c r="K258" s="222" t="s">
        <v>843</v>
      </c>
      <c r="L258" s="222" t="s">
        <v>844</v>
      </c>
      <c r="M258" s="222" t="s">
        <v>845</v>
      </c>
      <c r="N258" s="222" t="s">
        <v>846</v>
      </c>
      <c r="O258" s="222" t="s">
        <v>732</v>
      </c>
      <c r="P258" s="222" t="s">
        <v>567</v>
      </c>
      <c r="Q258" s="222" t="str">
        <f t="shared" si="95"/>
        <v>FCCS_ClosingBalance_Input</v>
      </c>
      <c r="R258" s="222" t="s">
        <v>169</v>
      </c>
      <c r="S258" s="222" t="s">
        <v>848</v>
      </c>
      <c r="T258" s="222" t="s">
        <v>850</v>
      </c>
    </row>
    <row r="259" spans="2:20" x14ac:dyDescent="0.3">
      <c r="B259" s="219" t="s">
        <v>1014</v>
      </c>
      <c r="C259" s="220" t="s">
        <v>421</v>
      </c>
      <c r="D259" s="221" t="str">
        <f>[2]!HsSetValue(E259,"FCC","Scenario#"&amp;R259&amp;";Years#"&amp;J259&amp;";Period#"&amp;I259&amp;";View#"&amp;S259&amp;";Entity#"&amp;H259&amp;";Data Source#"&amp;K259&amp;";Account#"&amp;F259&amp;";Intercompany#"&amp;L259&amp;";Movement#"&amp;Q259&amp;";Consolidation#"&amp;T259&amp;";Custom1#"&amp;M259&amp;";Custom2#"&amp;N259&amp;";Custom3#"&amp;O259&amp;";Custom4#"&amp;P259&amp;"")</f>
        <v>#Invalid Syntax</v>
      </c>
      <c r="E259" s="221">
        <f>SUMIFS('Investment Analysis'!$H$22:$H$69,'Investment Analysis'!$E$22:$E$69,"Corporate Debt-International",'Investment Analysis'!$AK$22:$AK$69,"25")</f>
        <v>0</v>
      </c>
      <c r="F259" s="222" t="s">
        <v>675</v>
      </c>
      <c r="G259" s="222" t="s">
        <v>1020</v>
      </c>
      <c r="H259" s="223" t="e">
        <f>+H$2</f>
        <v>#N/A</v>
      </c>
      <c r="I259" s="223" t="str">
        <f t="shared" si="94"/>
        <v>Jun</v>
      </c>
      <c r="J259" s="222" t="str">
        <f t="shared" si="94"/>
        <v>FY25</v>
      </c>
      <c r="K259" s="222" t="s">
        <v>843</v>
      </c>
      <c r="L259" s="222" t="s">
        <v>844</v>
      </c>
      <c r="M259" s="222" t="s">
        <v>845</v>
      </c>
      <c r="N259" s="222" t="s">
        <v>846</v>
      </c>
      <c r="O259" s="222" t="s">
        <v>733</v>
      </c>
      <c r="P259" s="222" t="s">
        <v>567</v>
      </c>
      <c r="Q259" s="222" t="str">
        <f t="shared" si="95"/>
        <v>FCCS_ClosingBalance_Input</v>
      </c>
      <c r="R259" s="222" t="s">
        <v>169</v>
      </c>
      <c r="S259" s="222" t="s">
        <v>848</v>
      </c>
      <c r="T259" s="222" t="s">
        <v>850</v>
      </c>
    </row>
    <row r="260" spans="2:20" x14ac:dyDescent="0.3">
      <c r="B260" s="210"/>
      <c r="C260" s="211"/>
      <c r="D260" s="212"/>
      <c r="E260" s="212"/>
      <c r="H260" s="372"/>
      <c r="I260" s="372"/>
    </row>
    <row r="261" spans="2:20" x14ac:dyDescent="0.3">
      <c r="B261" s="364" t="s">
        <v>668</v>
      </c>
      <c r="C261" s="365" t="s">
        <v>422</v>
      </c>
      <c r="D261" s="366" t="str">
        <f>[2]!HsSetValue(E261,"FCC","Scenario#"&amp;R261&amp;";Years#"&amp;J261&amp;";Period#"&amp;I261&amp;";View#"&amp;S261&amp;";Entity#"&amp;H261&amp;";Data Source#"&amp;K261&amp;";Account#"&amp;F261&amp;";Intercompany#"&amp;L261&amp;";Movement#"&amp;Q261&amp;";Consolidation#"&amp;T261&amp;";Custom1#"&amp;M261&amp;";Custom2#"&amp;N261&amp;";Custom3#"&amp;O261&amp;";Custom4#"&amp;P261&amp;"")</f>
        <v>#Invalid Syntax</v>
      </c>
      <c r="E261" s="366">
        <f>SUMIF('Investment Analysis'!$E$22:$E$69,'FCC Investments - Load Tab'!C261,'Investment Analysis'!$K$22:$K$69)</f>
        <v>0</v>
      </c>
      <c r="F261" s="367" t="s">
        <v>673</v>
      </c>
      <c r="G261" s="367" t="s">
        <v>791</v>
      </c>
      <c r="H261" s="368" t="e">
        <f>+H$2</f>
        <v>#N/A</v>
      </c>
      <c r="I261" s="368" t="str">
        <f t="shared" ref="I261:I265" si="96">+I$2</f>
        <v>Jun</v>
      </c>
      <c r="J261" s="367" t="str">
        <f>+J$2</f>
        <v>FY25</v>
      </c>
      <c r="K261" s="367" t="s">
        <v>843</v>
      </c>
      <c r="L261" s="367" t="s">
        <v>844</v>
      </c>
      <c r="M261" s="367" t="s">
        <v>845</v>
      </c>
      <c r="N261" s="367" t="s">
        <v>846</v>
      </c>
      <c r="O261" s="367" t="s">
        <v>721</v>
      </c>
      <c r="P261" s="367" t="s">
        <v>568</v>
      </c>
      <c r="Q261" s="367" t="str">
        <f t="shared" ref="Q261:Q265" si="97">Q$2</f>
        <v>FCCS_ClosingBalance_Input</v>
      </c>
      <c r="R261" s="367" t="s">
        <v>169</v>
      </c>
      <c r="S261" s="367" t="s">
        <v>848</v>
      </c>
      <c r="T261" s="367" t="s">
        <v>850</v>
      </c>
    </row>
    <row r="262" spans="2:20" x14ac:dyDescent="0.3">
      <c r="B262" s="364" t="s">
        <v>668</v>
      </c>
      <c r="C262" s="365" t="s">
        <v>422</v>
      </c>
      <c r="D262" s="366" t="str">
        <f>[2]!HsSetValue(E262,"FCC","Scenario#"&amp;R262&amp;";Years#"&amp;J262&amp;";Period#"&amp;I262&amp;";View#"&amp;S262&amp;";Entity#"&amp;H262&amp;";Data Source#"&amp;K262&amp;";Account#"&amp;F262&amp;";Intercompany#"&amp;L262&amp;";Movement#"&amp;Q262&amp;";Consolidation#"&amp;T262&amp;";Custom1#"&amp;M262&amp;";Custom2#"&amp;N262&amp;";Custom3#"&amp;O262&amp;";Custom4#"&amp;P262&amp;"")</f>
        <v>#Invalid Syntax</v>
      </c>
      <c r="E262" s="366">
        <f>SUMIF('Investment Analysis'!$E$22:$E$69,'FCC Investments - Load Tab'!C261,'Investment Analysis'!$L$22:$L$69)</f>
        <v>0</v>
      </c>
      <c r="F262" s="367" t="s">
        <v>673</v>
      </c>
      <c r="G262" s="367" t="s">
        <v>791</v>
      </c>
      <c r="H262" s="368" t="e">
        <f>+H$2</f>
        <v>#N/A</v>
      </c>
      <c r="I262" s="368" t="str">
        <f t="shared" si="96"/>
        <v>Jun</v>
      </c>
      <c r="J262" s="367" t="str">
        <f>+J$2</f>
        <v>FY25</v>
      </c>
      <c r="K262" s="367" t="str">
        <f t="shared" ref="K262:N265" si="98">+K$2</f>
        <v>FCCS_Other Data</v>
      </c>
      <c r="L262" s="367" t="str">
        <f t="shared" si="98"/>
        <v>FCCS_No Intercompany</v>
      </c>
      <c r="M262" s="367" t="str">
        <f>+M$1</f>
        <v>No Custom1</v>
      </c>
      <c r="N262" s="367" t="str">
        <f t="shared" si="98"/>
        <v>No Custom2</v>
      </c>
      <c r="O262" s="367" t="s">
        <v>722</v>
      </c>
      <c r="P262" s="367" t="s">
        <v>568</v>
      </c>
      <c r="Q262" s="367" t="str">
        <f t="shared" si="97"/>
        <v>FCCS_ClosingBalance_Input</v>
      </c>
      <c r="R262" s="367" t="str">
        <f t="shared" ref="R262:S265" si="99">+R$2</f>
        <v>Actual</v>
      </c>
      <c r="S262" s="367" t="str">
        <f t="shared" si="99"/>
        <v>FCCS_YTD_Input</v>
      </c>
      <c r="T262" s="367" t="s">
        <v>850</v>
      </c>
    </row>
    <row r="263" spans="2:20" x14ac:dyDescent="0.3">
      <c r="B263" s="364" t="s">
        <v>668</v>
      </c>
      <c r="C263" s="365" t="s">
        <v>422</v>
      </c>
      <c r="D263" s="366" t="str">
        <f>[2]!HsSetValue(E263,"FCC","Scenario#"&amp;R263&amp;";Years#"&amp;J263&amp;";Period#"&amp;I263&amp;";View#"&amp;S263&amp;";Entity#"&amp;H263&amp;";Data Source#"&amp;K263&amp;";Account#"&amp;F263&amp;";Intercompany#"&amp;L263&amp;";Movement#"&amp;Q263&amp;";Consolidation#"&amp;T263&amp;";Custom1#"&amp;M263&amp;";Custom2#"&amp;N263&amp;";Custom3#"&amp;O263&amp;";Custom4#"&amp;P263&amp;"")</f>
        <v>#Invalid Syntax</v>
      </c>
      <c r="E263" s="366">
        <f>SUMIF('Investment Analysis'!$E$22:$E$69,'FCC Investments - Load Tab'!C261,'Investment Analysis'!$M$22:$M$69)</f>
        <v>0</v>
      </c>
      <c r="F263" s="367" t="s">
        <v>673</v>
      </c>
      <c r="G263" s="367" t="s">
        <v>791</v>
      </c>
      <c r="H263" s="368" t="e">
        <f>+H$2</f>
        <v>#N/A</v>
      </c>
      <c r="I263" s="368" t="str">
        <f t="shared" si="96"/>
        <v>Jun</v>
      </c>
      <c r="J263" s="367" t="str">
        <f>+J$2</f>
        <v>FY25</v>
      </c>
      <c r="K263" s="367" t="str">
        <f t="shared" si="98"/>
        <v>FCCS_Other Data</v>
      </c>
      <c r="L263" s="367" t="str">
        <f t="shared" si="98"/>
        <v>FCCS_No Intercompany</v>
      </c>
      <c r="M263" s="367" t="str">
        <f>+M$1</f>
        <v>No Custom1</v>
      </c>
      <c r="N263" s="367" t="str">
        <f t="shared" si="98"/>
        <v>No Custom2</v>
      </c>
      <c r="O263" s="367" t="s">
        <v>723</v>
      </c>
      <c r="P263" s="367" t="s">
        <v>568</v>
      </c>
      <c r="Q263" s="367" t="str">
        <f t="shared" si="97"/>
        <v>FCCS_ClosingBalance_Input</v>
      </c>
      <c r="R263" s="367" t="str">
        <f t="shared" si="99"/>
        <v>Actual</v>
      </c>
      <c r="S263" s="367" t="str">
        <f t="shared" si="99"/>
        <v>FCCS_YTD_Input</v>
      </c>
      <c r="T263" s="367" t="s">
        <v>850</v>
      </c>
    </row>
    <row r="264" spans="2:20" x14ac:dyDescent="0.3">
      <c r="B264" s="364" t="s">
        <v>668</v>
      </c>
      <c r="C264" s="365" t="s">
        <v>422</v>
      </c>
      <c r="D264" s="366" t="str">
        <f>[2]!HsSetValue(E264,"FCC","Scenario#"&amp;R264&amp;";Years#"&amp;J264&amp;";Period#"&amp;I264&amp;";View#"&amp;S264&amp;";Entity#"&amp;H264&amp;";Data Source#"&amp;K264&amp;";Account#"&amp;F264&amp;";Intercompany#"&amp;L264&amp;";Movement#"&amp;Q264&amp;";Consolidation#"&amp;T264&amp;";Custom1#"&amp;M264&amp;";Custom2#"&amp;N264&amp;";Custom3#"&amp;O264&amp;";Custom4#"&amp;P264&amp;"")</f>
        <v>#Invalid Syntax</v>
      </c>
      <c r="E264" s="366">
        <f>SUMIF('Investment Analysis'!$E$22:$E$69,'FCC Investments - Load Tab'!C264,'Investment Analysis'!$N$22:$N$69)</f>
        <v>0</v>
      </c>
      <c r="F264" s="367" t="s">
        <v>673</v>
      </c>
      <c r="G264" s="367" t="s">
        <v>791</v>
      </c>
      <c r="H264" s="368" t="e">
        <f>+H$2</f>
        <v>#N/A</v>
      </c>
      <c r="I264" s="368" t="str">
        <f t="shared" si="96"/>
        <v>Jun</v>
      </c>
      <c r="J264" s="367" t="str">
        <f>+J$2</f>
        <v>FY25</v>
      </c>
      <c r="K264" s="367" t="str">
        <f t="shared" si="98"/>
        <v>FCCS_Other Data</v>
      </c>
      <c r="L264" s="367" t="str">
        <f t="shared" si="98"/>
        <v>FCCS_No Intercompany</v>
      </c>
      <c r="M264" s="367" t="str">
        <f>+M$1</f>
        <v>No Custom1</v>
      </c>
      <c r="N264" s="367" t="str">
        <f t="shared" si="98"/>
        <v>No Custom2</v>
      </c>
      <c r="O264" s="367" t="s">
        <v>724</v>
      </c>
      <c r="P264" s="367" t="s">
        <v>568</v>
      </c>
      <c r="Q264" s="367" t="str">
        <f t="shared" si="97"/>
        <v>FCCS_ClosingBalance_Input</v>
      </c>
      <c r="R264" s="367" t="str">
        <f t="shared" si="99"/>
        <v>Actual</v>
      </c>
      <c r="S264" s="367" t="str">
        <f t="shared" si="99"/>
        <v>FCCS_YTD_Input</v>
      </c>
      <c r="T264" s="367" t="s">
        <v>850</v>
      </c>
    </row>
    <row r="265" spans="2:20" x14ac:dyDescent="0.3">
      <c r="B265" s="364" t="s">
        <v>668</v>
      </c>
      <c r="C265" s="365" t="s">
        <v>422</v>
      </c>
      <c r="D265" s="366" t="str">
        <f>[2]!HsSetValue(E265,"FCC","Scenario#"&amp;R265&amp;";Years#"&amp;J265&amp;";Period#"&amp;I265&amp;";View#"&amp;S265&amp;";Entity#"&amp;H265&amp;";Data Source#"&amp;K265&amp;";Account#"&amp;F265&amp;";Intercompany#"&amp;L265&amp;";Movement#"&amp;Q265&amp;";Consolidation#"&amp;T265&amp;";Custom1#"&amp;M265&amp;";Custom2#"&amp;N265&amp;";Custom3#"&amp;O265&amp;";Custom4#"&amp;P265&amp;"")</f>
        <v>#Invalid Syntax</v>
      </c>
      <c r="E265" s="366">
        <f>SUMIF('Investment Analysis'!$E$22:$E$69,'FCC Investments - Load Tab'!C265,'Investment Analysis'!$O$22:$O$69)</f>
        <v>0</v>
      </c>
      <c r="F265" s="367" t="s">
        <v>673</v>
      </c>
      <c r="G265" s="367" t="s">
        <v>791</v>
      </c>
      <c r="H265" s="368" t="e">
        <f>+H$2</f>
        <v>#N/A</v>
      </c>
      <c r="I265" s="368" t="str">
        <f t="shared" si="96"/>
        <v>Jun</v>
      </c>
      <c r="J265" s="367" t="str">
        <f>+J$2</f>
        <v>FY25</v>
      </c>
      <c r="K265" s="367" t="str">
        <f t="shared" si="98"/>
        <v>FCCS_Other Data</v>
      </c>
      <c r="L265" s="367" t="str">
        <f t="shared" si="98"/>
        <v>FCCS_No Intercompany</v>
      </c>
      <c r="M265" s="367" t="str">
        <f>+M$1</f>
        <v>No Custom1</v>
      </c>
      <c r="N265" s="367" t="str">
        <f t="shared" si="98"/>
        <v>No Custom2</v>
      </c>
      <c r="O265" s="367" t="s">
        <v>725</v>
      </c>
      <c r="P265" s="367" t="s">
        <v>568</v>
      </c>
      <c r="Q265" s="367" t="str">
        <f t="shared" si="97"/>
        <v>FCCS_ClosingBalance_Input</v>
      </c>
      <c r="R265" s="367" t="str">
        <f t="shared" si="99"/>
        <v>Actual</v>
      </c>
      <c r="S265" s="367" t="str">
        <f t="shared" si="99"/>
        <v>FCCS_YTD_Input</v>
      </c>
      <c r="T265" s="367" t="s">
        <v>850</v>
      </c>
    </row>
    <row r="266" spans="2:20" outlineLevel="1" x14ac:dyDescent="0.3"/>
    <row r="267" spans="2:20" x14ac:dyDescent="0.3">
      <c r="B267" s="214" t="s">
        <v>667</v>
      </c>
      <c r="C267" s="215" t="s">
        <v>422</v>
      </c>
      <c r="D267" s="216" t="str">
        <f>[2]!HsSetValue(E267,"FCC","Scenario#"&amp;R267&amp;";Years#"&amp;J267&amp;";Period#"&amp;I267&amp;";View#"&amp;S267&amp;";Entity#"&amp;H267&amp;";Data Source#"&amp;K267&amp;";Account#"&amp;F267&amp;";Intercompany#"&amp;L267&amp;";Movement#"&amp;Q267&amp;";Consolidation#"&amp;T267&amp;";Custom1#"&amp;M267&amp;";Custom2#"&amp;N267&amp;";Custom3#"&amp;O267&amp;";Custom4#"&amp;P267&amp;"")</f>
        <v>#Invalid Syntax</v>
      </c>
      <c r="E267" s="216">
        <f>SUMIFS('Investment Analysis'!$H$22:$H$69,'Investment Analysis'!$E$22:$E$69,"Equity Securities-Domestic",'Investment Analysis'!$AB$22:$AB$69,"10")</f>
        <v>0</v>
      </c>
      <c r="F267" s="217" t="s">
        <v>674</v>
      </c>
      <c r="G267" s="217" t="s">
        <v>1051</v>
      </c>
      <c r="H267" s="218" t="e">
        <f t="shared" ref="H267:N280" si="100">+H$2</f>
        <v>#N/A</v>
      </c>
      <c r="I267" s="218" t="str">
        <f t="shared" si="100"/>
        <v>Jun</v>
      </c>
      <c r="J267" s="217" t="str">
        <f t="shared" si="100"/>
        <v>FY25</v>
      </c>
      <c r="K267" s="217" t="str">
        <f t="shared" si="100"/>
        <v>FCCS_Other Data</v>
      </c>
      <c r="L267" s="217" t="str">
        <f t="shared" si="100"/>
        <v>FCCS_No Intercompany</v>
      </c>
      <c r="M267" s="217" t="str">
        <f t="shared" ref="M267:M280" si="101">+M$1</f>
        <v>No Custom1</v>
      </c>
      <c r="N267" s="217" t="str">
        <f t="shared" si="100"/>
        <v>No Custom2</v>
      </c>
      <c r="O267" s="217" t="s">
        <v>433</v>
      </c>
      <c r="P267" s="217" t="s">
        <v>568</v>
      </c>
      <c r="Q267" s="217" t="str">
        <f t="shared" ref="Q267:Q280" si="102">Q$2</f>
        <v>FCCS_ClosingBalance_Input</v>
      </c>
      <c r="R267" s="217" t="str">
        <f t="shared" ref="R267:S280" si="103">+R$2</f>
        <v>Actual</v>
      </c>
      <c r="S267" s="217" t="str">
        <f t="shared" si="103"/>
        <v>FCCS_YTD_Input</v>
      </c>
      <c r="T267" s="217" t="s">
        <v>850</v>
      </c>
    </row>
    <row r="268" spans="2:20" x14ac:dyDescent="0.3">
      <c r="B268" s="214" t="s">
        <v>667</v>
      </c>
      <c r="C268" s="215" t="s">
        <v>422</v>
      </c>
      <c r="D268" s="216" t="str">
        <f>[2]!HsSetValue(E268,"FCC","Scenario#"&amp;R268&amp;";Years#"&amp;J268&amp;";Period#"&amp;I268&amp;";View#"&amp;S268&amp;";Entity#"&amp;H268&amp;";Data Source#"&amp;K268&amp;";Account#"&amp;F268&amp;";Intercompany#"&amp;L268&amp;";Movement#"&amp;Q268&amp;";Consolidation#"&amp;T268&amp;";Custom1#"&amp;M268&amp;";Custom2#"&amp;N268&amp;";Custom3#"&amp;O268&amp;";Custom4#"&amp;P268&amp;"")</f>
        <v>#Invalid Syntax</v>
      </c>
      <c r="E268" s="216">
        <f>SUMIFS('Investment Analysis'!$H$22:$H$69,'Investment Analysis'!$E$22:$E$69,"Equity Securities-Domestic",'Investment Analysis'!$AB$22:$AB$69,"9")</f>
        <v>0</v>
      </c>
      <c r="F268" s="217" t="s">
        <v>674</v>
      </c>
      <c r="G268" s="217" t="s">
        <v>1051</v>
      </c>
      <c r="H268" s="218" t="e">
        <f t="shared" si="100"/>
        <v>#N/A</v>
      </c>
      <c r="I268" s="218" t="str">
        <f t="shared" si="100"/>
        <v>Jun</v>
      </c>
      <c r="J268" s="217" t="str">
        <f t="shared" si="100"/>
        <v>FY25</v>
      </c>
      <c r="K268" s="217" t="str">
        <f t="shared" si="100"/>
        <v>FCCS_Other Data</v>
      </c>
      <c r="L268" s="217" t="str">
        <f t="shared" si="100"/>
        <v>FCCS_No Intercompany</v>
      </c>
      <c r="M268" s="217" t="str">
        <f t="shared" si="101"/>
        <v>No Custom1</v>
      </c>
      <c r="N268" s="217" t="str">
        <f t="shared" si="100"/>
        <v>No Custom2</v>
      </c>
      <c r="O268" s="217" t="s">
        <v>596</v>
      </c>
      <c r="P268" s="217" t="s">
        <v>568</v>
      </c>
      <c r="Q268" s="217" t="str">
        <f t="shared" si="102"/>
        <v>FCCS_ClosingBalance_Input</v>
      </c>
      <c r="R268" s="217" t="str">
        <f t="shared" si="103"/>
        <v>Actual</v>
      </c>
      <c r="S268" s="217" t="str">
        <f t="shared" si="103"/>
        <v>FCCS_YTD_Input</v>
      </c>
      <c r="T268" s="217" t="s">
        <v>850</v>
      </c>
    </row>
    <row r="269" spans="2:20" x14ac:dyDescent="0.3">
      <c r="B269" s="214" t="s">
        <v>667</v>
      </c>
      <c r="C269" s="215" t="s">
        <v>422</v>
      </c>
      <c r="D269" s="216" t="str">
        <f>[2]!HsSetValue(E269,"FCC","Scenario#"&amp;R269&amp;";Years#"&amp;J269&amp;";Period#"&amp;I269&amp;";View#"&amp;S269&amp;";Entity#"&amp;H269&amp;";Data Source#"&amp;K269&amp;";Account#"&amp;F269&amp;";Intercompany#"&amp;L269&amp;";Movement#"&amp;Q269&amp;";Consolidation#"&amp;T269&amp;";Custom1#"&amp;M269&amp;";Custom2#"&amp;N269&amp;";Custom3#"&amp;O269&amp;";Custom4#"&amp;P269&amp;"")</f>
        <v>#Invalid Syntax</v>
      </c>
      <c r="E269" s="216">
        <f>SUMIFS('Investment Analysis'!$H$22:$H$69,'Investment Analysis'!$E$22:$E$69,"Equity Securities-Domestic",'Investment Analysis'!$AB$22:$AB$69,"8")</f>
        <v>0</v>
      </c>
      <c r="F269" s="217" t="s">
        <v>674</v>
      </c>
      <c r="G269" s="217" t="s">
        <v>1051</v>
      </c>
      <c r="H269" s="218" t="e">
        <f t="shared" si="100"/>
        <v>#N/A</v>
      </c>
      <c r="I269" s="218" t="str">
        <f t="shared" si="100"/>
        <v>Jun</v>
      </c>
      <c r="J269" s="217" t="str">
        <f t="shared" si="100"/>
        <v>FY25</v>
      </c>
      <c r="K269" s="217" t="str">
        <f t="shared" si="100"/>
        <v>FCCS_Other Data</v>
      </c>
      <c r="L269" s="217" t="str">
        <f t="shared" si="100"/>
        <v>FCCS_No Intercompany</v>
      </c>
      <c r="M269" s="217" t="str">
        <f t="shared" si="101"/>
        <v>No Custom1</v>
      </c>
      <c r="N269" s="217" t="str">
        <f t="shared" si="100"/>
        <v>No Custom2</v>
      </c>
      <c r="O269" s="217" t="s">
        <v>61</v>
      </c>
      <c r="P269" s="217" t="s">
        <v>568</v>
      </c>
      <c r="Q269" s="217" t="str">
        <f t="shared" si="102"/>
        <v>FCCS_ClosingBalance_Input</v>
      </c>
      <c r="R269" s="217" t="str">
        <f t="shared" si="103"/>
        <v>Actual</v>
      </c>
      <c r="S269" s="217" t="str">
        <f t="shared" si="103"/>
        <v>FCCS_YTD_Input</v>
      </c>
      <c r="T269" s="217" t="s">
        <v>850</v>
      </c>
    </row>
    <row r="270" spans="2:20" x14ac:dyDescent="0.3">
      <c r="B270" s="214" t="s">
        <v>667</v>
      </c>
      <c r="C270" s="215" t="s">
        <v>422</v>
      </c>
      <c r="D270" s="216" t="str">
        <f>[2]!HsSetValue(E270,"FCC","Scenario#"&amp;R270&amp;";Years#"&amp;J270&amp;";Period#"&amp;I270&amp;";View#"&amp;S270&amp;";Entity#"&amp;H270&amp;";Data Source#"&amp;K270&amp;";Account#"&amp;F270&amp;";Intercompany#"&amp;L270&amp;";Movement#"&amp;Q270&amp;";Consolidation#"&amp;T270&amp;";Custom1#"&amp;M270&amp;";Custom2#"&amp;N270&amp;";Custom3#"&amp;O270&amp;";Custom4#"&amp;P270&amp;"")</f>
        <v>#Invalid Syntax</v>
      </c>
      <c r="E270" s="216">
        <f>SUMIFS('Investment Analysis'!$H$22:$H$69,'Investment Analysis'!$E$22:$E$69,"Equity Securities-Domestic",'Investment Analysis'!$AB$22:$AB$69,"7")</f>
        <v>0</v>
      </c>
      <c r="F270" s="217" t="s">
        <v>674</v>
      </c>
      <c r="G270" s="217" t="s">
        <v>1051</v>
      </c>
      <c r="H270" s="218" t="e">
        <f t="shared" si="100"/>
        <v>#N/A</v>
      </c>
      <c r="I270" s="218" t="str">
        <f t="shared" si="100"/>
        <v>Jun</v>
      </c>
      <c r="J270" s="217" t="str">
        <f t="shared" si="100"/>
        <v>FY25</v>
      </c>
      <c r="K270" s="217" t="str">
        <f t="shared" si="100"/>
        <v>FCCS_Other Data</v>
      </c>
      <c r="L270" s="217" t="str">
        <f t="shared" si="100"/>
        <v>FCCS_No Intercompany</v>
      </c>
      <c r="M270" s="217" t="str">
        <f t="shared" si="101"/>
        <v>No Custom1</v>
      </c>
      <c r="N270" s="217" t="str">
        <f t="shared" si="100"/>
        <v>No Custom2</v>
      </c>
      <c r="O270" s="217" t="s">
        <v>62</v>
      </c>
      <c r="P270" s="217" t="s">
        <v>568</v>
      </c>
      <c r="Q270" s="217" t="str">
        <f t="shared" si="102"/>
        <v>FCCS_ClosingBalance_Input</v>
      </c>
      <c r="R270" s="217" t="str">
        <f t="shared" si="103"/>
        <v>Actual</v>
      </c>
      <c r="S270" s="217" t="str">
        <f t="shared" si="103"/>
        <v>FCCS_YTD_Input</v>
      </c>
      <c r="T270" s="217" t="s">
        <v>850</v>
      </c>
    </row>
    <row r="271" spans="2:20" x14ac:dyDescent="0.3">
      <c r="B271" s="214" t="s">
        <v>667</v>
      </c>
      <c r="C271" s="215" t="s">
        <v>422</v>
      </c>
      <c r="D271" s="216" t="str">
        <f>[2]!HsSetValue(E271,"FCC","Scenario#"&amp;R271&amp;";Years#"&amp;J271&amp;";Period#"&amp;I271&amp;";View#"&amp;S271&amp;";Entity#"&amp;H271&amp;";Data Source#"&amp;K271&amp;";Account#"&amp;F271&amp;";Intercompany#"&amp;L271&amp;";Movement#"&amp;Q271&amp;";Consolidation#"&amp;T271&amp;";Custom1#"&amp;M271&amp;";Custom2#"&amp;N271&amp;";Custom3#"&amp;O271&amp;";Custom4#"&amp;P271&amp;"")</f>
        <v>#Invalid Syntax</v>
      </c>
      <c r="E271" s="216">
        <f>SUMIFS('Investment Analysis'!$H$22:$H$69,'Investment Analysis'!$E$22:$E$69,"Equity Securities-Domestic",'Investment Analysis'!$AB$22:$AB$69,"6")</f>
        <v>0</v>
      </c>
      <c r="F271" s="217" t="s">
        <v>674</v>
      </c>
      <c r="G271" s="217" t="s">
        <v>1051</v>
      </c>
      <c r="H271" s="218" t="e">
        <f t="shared" si="100"/>
        <v>#N/A</v>
      </c>
      <c r="I271" s="218" t="str">
        <f t="shared" si="100"/>
        <v>Jun</v>
      </c>
      <c r="J271" s="217" t="str">
        <f t="shared" si="100"/>
        <v>FY25</v>
      </c>
      <c r="K271" s="217" t="str">
        <f t="shared" si="100"/>
        <v>FCCS_Other Data</v>
      </c>
      <c r="L271" s="217" t="str">
        <f t="shared" si="100"/>
        <v>FCCS_No Intercompany</v>
      </c>
      <c r="M271" s="217" t="str">
        <f t="shared" si="101"/>
        <v>No Custom1</v>
      </c>
      <c r="N271" s="217" t="str">
        <f t="shared" si="100"/>
        <v>No Custom2</v>
      </c>
      <c r="O271" s="217" t="s">
        <v>436</v>
      </c>
      <c r="P271" s="217" t="s">
        <v>568</v>
      </c>
      <c r="Q271" s="217" t="str">
        <f t="shared" si="102"/>
        <v>FCCS_ClosingBalance_Input</v>
      </c>
      <c r="R271" s="217" t="str">
        <f t="shared" si="103"/>
        <v>Actual</v>
      </c>
      <c r="S271" s="217" t="str">
        <f t="shared" si="103"/>
        <v>FCCS_YTD_Input</v>
      </c>
      <c r="T271" s="217" t="s">
        <v>850</v>
      </c>
    </row>
    <row r="272" spans="2:20" s="371" customFormat="1" x14ac:dyDescent="0.3">
      <c r="B272" s="214" t="s">
        <v>667</v>
      </c>
      <c r="C272" s="215" t="s">
        <v>422</v>
      </c>
      <c r="D272" s="216" t="str">
        <f>[2]!HsSetValue(E272,"FCC","Scenario#"&amp;R272&amp;";Years#"&amp;J272&amp;";Period#"&amp;I272&amp;";View#"&amp;S272&amp;";Entity#"&amp;H272&amp;";Data Source#"&amp;K272&amp;";Account#"&amp;F272&amp;";Intercompany#"&amp;L272&amp;";Movement#"&amp;Q272&amp;";Consolidation#"&amp;T272&amp;";Custom1#"&amp;M272&amp;";Custom2#"&amp;N272&amp;";Custom3#"&amp;O272&amp;";Custom4#"&amp;P272&amp;"")</f>
        <v>#Invalid Syntax</v>
      </c>
      <c r="E272" s="216">
        <f>SUMIFS('Investment Analysis'!$H$22:$H$69,'Investment Analysis'!$E$22:$E$69,"Equity Securities-Domestic",'Investment Analysis'!$AB$22:$AB$69,"5")</f>
        <v>0</v>
      </c>
      <c r="F272" s="217" t="s">
        <v>674</v>
      </c>
      <c r="G272" s="217" t="s">
        <v>1052</v>
      </c>
      <c r="H272" s="218" t="e">
        <f t="shared" si="100"/>
        <v>#N/A</v>
      </c>
      <c r="I272" s="218" t="str">
        <f t="shared" si="100"/>
        <v>Jun</v>
      </c>
      <c r="J272" s="217" t="str">
        <f t="shared" si="100"/>
        <v>FY25</v>
      </c>
      <c r="K272" s="217" t="str">
        <f t="shared" si="100"/>
        <v>FCCS_Other Data</v>
      </c>
      <c r="L272" s="217" t="str">
        <f t="shared" si="100"/>
        <v>FCCS_No Intercompany</v>
      </c>
      <c r="M272" s="217" t="str">
        <f t="shared" si="101"/>
        <v>No Custom1</v>
      </c>
      <c r="N272" s="217" t="str">
        <f t="shared" si="100"/>
        <v>No Custom2</v>
      </c>
      <c r="O272" s="217" t="s">
        <v>434</v>
      </c>
      <c r="P272" s="217" t="s">
        <v>568</v>
      </c>
      <c r="Q272" s="217" t="str">
        <f t="shared" si="102"/>
        <v>FCCS_ClosingBalance_Input</v>
      </c>
      <c r="R272" s="217" t="str">
        <f t="shared" si="103"/>
        <v>Actual</v>
      </c>
      <c r="S272" s="217" t="str">
        <f t="shared" si="103"/>
        <v>FCCS_YTD_Input</v>
      </c>
      <c r="T272" s="217" t="s">
        <v>850</v>
      </c>
    </row>
    <row r="273" spans="2:20" s="371" customFormat="1" x14ac:dyDescent="0.3">
      <c r="B273" s="214" t="s">
        <v>667</v>
      </c>
      <c r="C273" s="215" t="s">
        <v>422</v>
      </c>
      <c r="D273" s="216" t="str">
        <f>[2]!HsSetValue(E273,"FCC","Scenario#"&amp;R273&amp;";Years#"&amp;J273&amp;";Period#"&amp;I273&amp;";View#"&amp;S273&amp;";Entity#"&amp;H273&amp;";Data Source#"&amp;K273&amp;";Account#"&amp;F273&amp;";Intercompany#"&amp;L273&amp;";Movement#"&amp;Q273&amp;";Consolidation#"&amp;T273&amp;";Custom1#"&amp;M273&amp;";Custom2#"&amp;N273&amp;";Custom3#"&amp;O273&amp;";Custom4#"&amp;P273&amp;"")</f>
        <v>#Invalid Syntax</v>
      </c>
      <c r="E273" s="216">
        <f>SUMIFS('Investment Analysis'!$H$22:$H$69,'Investment Analysis'!$E$22:$E$69,"Equity Securities-Domestic",'Investment Analysis'!$AB$22:$AB$69,"4")</f>
        <v>0</v>
      </c>
      <c r="F273" s="217" t="s">
        <v>674</v>
      </c>
      <c r="G273" s="217" t="s">
        <v>1051</v>
      </c>
      <c r="H273" s="218" t="e">
        <f t="shared" si="100"/>
        <v>#N/A</v>
      </c>
      <c r="I273" s="218" t="str">
        <f t="shared" si="100"/>
        <v>Jun</v>
      </c>
      <c r="J273" s="217" t="str">
        <f t="shared" si="100"/>
        <v>FY25</v>
      </c>
      <c r="K273" s="217" t="str">
        <f t="shared" si="100"/>
        <v>FCCS_Other Data</v>
      </c>
      <c r="L273" s="217" t="str">
        <f t="shared" si="100"/>
        <v>FCCS_No Intercompany</v>
      </c>
      <c r="M273" s="217" t="str">
        <f t="shared" si="101"/>
        <v>No Custom1</v>
      </c>
      <c r="N273" s="217" t="str">
        <f t="shared" si="100"/>
        <v>No Custom2</v>
      </c>
      <c r="O273" s="217" t="s">
        <v>63</v>
      </c>
      <c r="P273" s="217" t="s">
        <v>568</v>
      </c>
      <c r="Q273" s="217" t="str">
        <f t="shared" si="102"/>
        <v>FCCS_ClosingBalance_Input</v>
      </c>
      <c r="R273" s="217" t="str">
        <f t="shared" si="103"/>
        <v>Actual</v>
      </c>
      <c r="S273" s="217" t="str">
        <f t="shared" si="103"/>
        <v>FCCS_YTD_Input</v>
      </c>
      <c r="T273" s="217" t="s">
        <v>850</v>
      </c>
    </row>
    <row r="274" spans="2:20" s="371" customFormat="1" x14ac:dyDescent="0.3">
      <c r="B274" s="214" t="s">
        <v>667</v>
      </c>
      <c r="C274" s="215" t="s">
        <v>422</v>
      </c>
      <c r="D274" s="216" t="str">
        <f>[2]!HsSetValue(E274,"FCC","Scenario#"&amp;R274&amp;";Years#"&amp;J274&amp;";Period#"&amp;I274&amp;";View#"&amp;S274&amp;";Entity#"&amp;H274&amp;";Data Source#"&amp;K274&amp;";Account#"&amp;F274&amp;";Intercompany#"&amp;L274&amp;";Movement#"&amp;Q274&amp;";Consolidation#"&amp;T274&amp;";Custom1#"&amp;M274&amp;";Custom2#"&amp;N274&amp;";Custom3#"&amp;O274&amp;";Custom4#"&amp;P274&amp;"")</f>
        <v>#Invalid Syntax</v>
      </c>
      <c r="E274" s="216">
        <f>SUMIFS('Investment Analysis'!$H$22:$H$69,'Investment Analysis'!$E$22:$E$69,"Equity Securities-Domestic",'Investment Analysis'!$AB$22:$AB$69,"3")</f>
        <v>0</v>
      </c>
      <c r="F274" s="217" t="s">
        <v>674</v>
      </c>
      <c r="G274" s="217" t="s">
        <v>1051</v>
      </c>
      <c r="H274" s="218" t="e">
        <f t="shared" si="100"/>
        <v>#N/A</v>
      </c>
      <c r="I274" s="218" t="str">
        <f t="shared" si="100"/>
        <v>Jun</v>
      </c>
      <c r="J274" s="217" t="str">
        <f t="shared" si="100"/>
        <v>FY25</v>
      </c>
      <c r="K274" s="217" t="str">
        <f t="shared" si="100"/>
        <v>FCCS_Other Data</v>
      </c>
      <c r="L274" s="217" t="str">
        <f t="shared" si="100"/>
        <v>FCCS_No Intercompany</v>
      </c>
      <c r="M274" s="217" t="str">
        <f t="shared" si="101"/>
        <v>No Custom1</v>
      </c>
      <c r="N274" s="217" t="str">
        <f t="shared" si="100"/>
        <v>No Custom2</v>
      </c>
      <c r="O274" s="217" t="s">
        <v>622</v>
      </c>
      <c r="P274" s="217" t="s">
        <v>568</v>
      </c>
      <c r="Q274" s="217" t="str">
        <f t="shared" si="102"/>
        <v>FCCS_ClosingBalance_Input</v>
      </c>
      <c r="R274" s="217" t="str">
        <f t="shared" si="103"/>
        <v>Actual</v>
      </c>
      <c r="S274" s="217" t="str">
        <f t="shared" si="103"/>
        <v>FCCS_YTD_Input</v>
      </c>
      <c r="T274" s="217" t="s">
        <v>850</v>
      </c>
    </row>
    <row r="275" spans="2:20" s="371" customFormat="1" x14ac:dyDescent="0.3">
      <c r="B275" s="214" t="s">
        <v>667</v>
      </c>
      <c r="C275" s="215" t="s">
        <v>422</v>
      </c>
      <c r="D275" s="216" t="str">
        <f>[2]!HsSetValue(E275,"FCC","Scenario#"&amp;R275&amp;";Years#"&amp;J275&amp;";Period#"&amp;I275&amp;";View#"&amp;S275&amp;";Entity#"&amp;H275&amp;";Data Source#"&amp;K275&amp;";Account#"&amp;F275&amp;";Intercompany#"&amp;L275&amp;";Movement#"&amp;Q275&amp;";Consolidation#"&amp;T275&amp;";Custom1#"&amp;M275&amp;";Custom2#"&amp;N275&amp;";Custom3#"&amp;O275&amp;";Custom4#"&amp;P275&amp;"")</f>
        <v>#Invalid Syntax</v>
      </c>
      <c r="E275" s="216">
        <f>SUMIFS('Investment Analysis'!$H$22:$H$69,'Investment Analysis'!$E$22:$E$69,"Equity Securities-Domestic",'Investment Analysis'!$AB$22:$AB$69,"2")</f>
        <v>0</v>
      </c>
      <c r="F275" s="217" t="s">
        <v>674</v>
      </c>
      <c r="G275" s="217" t="s">
        <v>1051</v>
      </c>
      <c r="H275" s="218" t="e">
        <f t="shared" si="100"/>
        <v>#N/A</v>
      </c>
      <c r="I275" s="218" t="str">
        <f t="shared" si="100"/>
        <v>Jun</v>
      </c>
      <c r="J275" s="217" t="str">
        <f t="shared" si="100"/>
        <v>FY25</v>
      </c>
      <c r="K275" s="217" t="str">
        <f t="shared" si="100"/>
        <v>FCCS_Other Data</v>
      </c>
      <c r="L275" s="217" t="str">
        <f t="shared" si="100"/>
        <v>FCCS_No Intercompany</v>
      </c>
      <c r="M275" s="217" t="str">
        <f t="shared" si="101"/>
        <v>No Custom1</v>
      </c>
      <c r="N275" s="217" t="str">
        <f t="shared" si="100"/>
        <v>No Custom2</v>
      </c>
      <c r="O275" s="217" t="s">
        <v>618</v>
      </c>
      <c r="P275" s="217" t="s">
        <v>568</v>
      </c>
      <c r="Q275" s="217" t="str">
        <f t="shared" si="102"/>
        <v>FCCS_ClosingBalance_Input</v>
      </c>
      <c r="R275" s="217" t="str">
        <f t="shared" si="103"/>
        <v>Actual</v>
      </c>
      <c r="S275" s="217" t="str">
        <f t="shared" si="103"/>
        <v>FCCS_YTD_Input</v>
      </c>
      <c r="T275" s="217" t="s">
        <v>850</v>
      </c>
    </row>
    <row r="276" spans="2:20" s="371" customFormat="1" x14ac:dyDescent="0.3">
      <c r="B276" s="214" t="s">
        <v>667</v>
      </c>
      <c r="C276" s="215" t="s">
        <v>422</v>
      </c>
      <c r="D276" s="216" t="str">
        <f>[2]!HsSetValue(E276,"FCC","Scenario#"&amp;R276&amp;";Years#"&amp;J276&amp;";Period#"&amp;I276&amp;";View#"&amp;S276&amp;";Entity#"&amp;H276&amp;";Data Source#"&amp;K276&amp;";Account#"&amp;F276&amp;";Intercompany#"&amp;L276&amp;";Movement#"&amp;Q276&amp;";Consolidation#"&amp;T276&amp;";Custom1#"&amp;M276&amp;";Custom2#"&amp;N276&amp;";Custom3#"&amp;O276&amp;";Custom4#"&amp;P276&amp;"")</f>
        <v>#Invalid Syntax</v>
      </c>
      <c r="E276" s="216">
        <f>SUMIFS('Investment Analysis'!$H$22:$H$69,'Investment Analysis'!$E$22:$E$69,"Equity Securities-Domestic",'Investment Analysis'!$AB$22:$AB$69,"1")</f>
        <v>0</v>
      </c>
      <c r="F276" s="217" t="s">
        <v>674</v>
      </c>
      <c r="G276" s="217" t="s">
        <v>1051</v>
      </c>
      <c r="H276" s="218" t="e">
        <f t="shared" si="100"/>
        <v>#N/A</v>
      </c>
      <c r="I276" s="218" t="str">
        <f t="shared" si="100"/>
        <v>Jun</v>
      </c>
      <c r="J276" s="217" t="str">
        <f t="shared" si="100"/>
        <v>FY25</v>
      </c>
      <c r="K276" s="217" t="str">
        <f t="shared" si="100"/>
        <v>FCCS_Other Data</v>
      </c>
      <c r="L276" s="217" t="str">
        <f t="shared" si="100"/>
        <v>FCCS_No Intercompany</v>
      </c>
      <c r="M276" s="217" t="str">
        <f t="shared" si="101"/>
        <v>No Custom1</v>
      </c>
      <c r="N276" s="217" t="str">
        <f t="shared" si="100"/>
        <v>No Custom2</v>
      </c>
      <c r="O276" s="217" t="s">
        <v>64</v>
      </c>
      <c r="P276" s="217" t="s">
        <v>568</v>
      </c>
      <c r="Q276" s="217" t="str">
        <f t="shared" si="102"/>
        <v>FCCS_ClosingBalance_Input</v>
      </c>
      <c r="R276" s="217" t="str">
        <f t="shared" si="103"/>
        <v>Actual</v>
      </c>
      <c r="S276" s="217" t="str">
        <f t="shared" si="103"/>
        <v>FCCS_YTD_Input</v>
      </c>
      <c r="T276" s="217" t="s">
        <v>850</v>
      </c>
    </row>
    <row r="277" spans="2:20" x14ac:dyDescent="0.3">
      <c r="B277" s="214" t="s">
        <v>667</v>
      </c>
      <c r="C277" s="215" t="s">
        <v>422</v>
      </c>
      <c r="D277" s="216" t="str">
        <f>[2]!HsSetValue(E277,"FCC","Scenario#"&amp;R277&amp;";Years#"&amp;J277&amp;";Period#"&amp;I277&amp;";View#"&amp;S277&amp;";Entity#"&amp;H277&amp;";Data Source#"&amp;K277&amp;";Account#"&amp;F277&amp;";Intercompany#"&amp;L277&amp;";Movement#"&amp;Q277&amp;";Consolidation#"&amp;T277&amp;";Custom1#"&amp;M277&amp;";Custom2#"&amp;N277&amp;";Custom3#"&amp;O277&amp;";Custom4#"&amp;P277&amp;"")</f>
        <v>#Invalid Syntax</v>
      </c>
      <c r="E277" s="216">
        <f>SUMIFS('Investment Analysis'!$H$22:$H$69,'Investment Analysis'!$E$22:$E$69,"Equity Securities-Domestic",'Investment Analysis'!$AI$22:$AI$69,"16")</f>
        <v>0</v>
      </c>
      <c r="F277" s="217" t="s">
        <v>674</v>
      </c>
      <c r="G277" s="217" t="s">
        <v>1051</v>
      </c>
      <c r="H277" s="218" t="e">
        <f t="shared" si="100"/>
        <v>#N/A</v>
      </c>
      <c r="I277" s="218" t="str">
        <f t="shared" si="100"/>
        <v>Jun</v>
      </c>
      <c r="J277" s="217" t="str">
        <f t="shared" si="100"/>
        <v>FY25</v>
      </c>
      <c r="K277" s="217" t="str">
        <f t="shared" si="100"/>
        <v>FCCS_Other Data</v>
      </c>
      <c r="L277" s="217" t="str">
        <f t="shared" si="100"/>
        <v>FCCS_No Intercompany</v>
      </c>
      <c r="M277" s="217" t="str">
        <f t="shared" si="101"/>
        <v>No Custom1</v>
      </c>
      <c r="N277" s="217" t="str">
        <f t="shared" si="100"/>
        <v>No Custom2</v>
      </c>
      <c r="O277" s="217" t="s">
        <v>726</v>
      </c>
      <c r="P277" s="217" t="s">
        <v>568</v>
      </c>
      <c r="Q277" s="217" t="str">
        <f t="shared" si="102"/>
        <v>FCCS_ClosingBalance_Input</v>
      </c>
      <c r="R277" s="217" t="str">
        <f t="shared" si="103"/>
        <v>Actual</v>
      </c>
      <c r="S277" s="217" t="str">
        <f t="shared" si="103"/>
        <v>FCCS_YTD_Input</v>
      </c>
      <c r="T277" s="217" t="s">
        <v>850</v>
      </c>
    </row>
    <row r="278" spans="2:20" x14ac:dyDescent="0.3">
      <c r="B278" s="214" t="s">
        <v>667</v>
      </c>
      <c r="C278" s="215" t="s">
        <v>422</v>
      </c>
      <c r="D278" s="216" t="str">
        <f>[2]!HsSetValue(E278,"FCC","Scenario#"&amp;R278&amp;";Years#"&amp;J278&amp;";Period#"&amp;I278&amp;";View#"&amp;S278&amp;";Entity#"&amp;H278&amp;";Data Source#"&amp;K278&amp;";Account#"&amp;F278&amp;";Intercompany#"&amp;L278&amp;";Movement#"&amp;Q278&amp;";Consolidation#"&amp;T278&amp;";Custom1#"&amp;M278&amp;";Custom2#"&amp;N278&amp;";Custom3#"&amp;O278&amp;";Custom4#"&amp;P278&amp;"")</f>
        <v>#Invalid Syntax</v>
      </c>
      <c r="E278" s="216">
        <f>SUMIFS('Investment Analysis'!$H$22:$H$69,'Investment Analysis'!$E$22:$E$69,"Equity Securities-Domestic",'Investment Analysis'!$AI$22:$AI$69,"15")</f>
        <v>0</v>
      </c>
      <c r="F278" s="217" t="s">
        <v>674</v>
      </c>
      <c r="G278" s="217" t="s">
        <v>1051</v>
      </c>
      <c r="H278" s="218" t="e">
        <f t="shared" si="100"/>
        <v>#N/A</v>
      </c>
      <c r="I278" s="218" t="str">
        <f t="shared" si="100"/>
        <v>Jun</v>
      </c>
      <c r="J278" s="217" t="str">
        <f t="shared" si="100"/>
        <v>FY25</v>
      </c>
      <c r="K278" s="217" t="str">
        <f t="shared" si="100"/>
        <v>FCCS_Other Data</v>
      </c>
      <c r="L278" s="217" t="str">
        <f t="shared" si="100"/>
        <v>FCCS_No Intercompany</v>
      </c>
      <c r="M278" s="217" t="str">
        <f t="shared" si="101"/>
        <v>No Custom1</v>
      </c>
      <c r="N278" s="217" t="str">
        <f t="shared" si="100"/>
        <v>No Custom2</v>
      </c>
      <c r="O278" s="217" t="s">
        <v>727</v>
      </c>
      <c r="P278" s="217" t="s">
        <v>568</v>
      </c>
      <c r="Q278" s="217" t="str">
        <f t="shared" si="102"/>
        <v>FCCS_ClosingBalance_Input</v>
      </c>
      <c r="R278" s="217" t="str">
        <f t="shared" si="103"/>
        <v>Actual</v>
      </c>
      <c r="S278" s="217" t="str">
        <f t="shared" si="103"/>
        <v>FCCS_YTD_Input</v>
      </c>
      <c r="T278" s="217" t="s">
        <v>850</v>
      </c>
    </row>
    <row r="279" spans="2:20" x14ac:dyDescent="0.3">
      <c r="B279" s="214" t="s">
        <v>667</v>
      </c>
      <c r="C279" s="215" t="s">
        <v>422</v>
      </c>
      <c r="D279" s="216" t="str">
        <f>[2]!HsSetValue(E279,"FCC","Scenario#"&amp;R279&amp;";Years#"&amp;J279&amp;";Period#"&amp;I279&amp;";View#"&amp;S279&amp;";Entity#"&amp;H279&amp;";Data Source#"&amp;K279&amp;";Account#"&amp;F279&amp;";Intercompany#"&amp;L279&amp;";Movement#"&amp;Q279&amp;";Consolidation#"&amp;T279&amp;";Custom1#"&amp;M279&amp;";Custom2#"&amp;N279&amp;";Custom3#"&amp;O279&amp;";Custom4#"&amp;P279&amp;"")</f>
        <v>#Invalid Syntax</v>
      </c>
      <c r="E279" s="216">
        <f>SUMIFS('Investment Analysis'!$H$22:$H$69,'Investment Analysis'!$E$22:$E$69,"Equity Securities-Domestic",'Investment Analysis'!$AI$22:$AI$69,"14")</f>
        <v>0</v>
      </c>
      <c r="F279" s="217" t="s">
        <v>674</v>
      </c>
      <c r="G279" s="217" t="s">
        <v>1051</v>
      </c>
      <c r="H279" s="218" t="e">
        <f t="shared" si="100"/>
        <v>#N/A</v>
      </c>
      <c r="I279" s="218" t="str">
        <f t="shared" si="100"/>
        <v>Jun</v>
      </c>
      <c r="J279" s="217" t="str">
        <f t="shared" si="100"/>
        <v>FY25</v>
      </c>
      <c r="K279" s="217" t="str">
        <f t="shared" si="100"/>
        <v>FCCS_Other Data</v>
      </c>
      <c r="L279" s="217" t="str">
        <f t="shared" si="100"/>
        <v>FCCS_No Intercompany</v>
      </c>
      <c r="M279" s="217" t="str">
        <f t="shared" si="101"/>
        <v>No Custom1</v>
      </c>
      <c r="N279" s="217" t="str">
        <f t="shared" si="100"/>
        <v>No Custom2</v>
      </c>
      <c r="O279" s="217" t="s">
        <v>728</v>
      </c>
      <c r="P279" s="217" t="s">
        <v>568</v>
      </c>
      <c r="Q279" s="217" t="str">
        <f t="shared" si="102"/>
        <v>FCCS_ClosingBalance_Input</v>
      </c>
      <c r="R279" s="217" t="str">
        <f t="shared" si="103"/>
        <v>Actual</v>
      </c>
      <c r="S279" s="217" t="str">
        <f t="shared" si="103"/>
        <v>FCCS_YTD_Input</v>
      </c>
      <c r="T279" s="217" t="s">
        <v>850</v>
      </c>
    </row>
    <row r="280" spans="2:20" x14ac:dyDescent="0.3">
      <c r="B280" s="214" t="s">
        <v>667</v>
      </c>
      <c r="C280" s="215" t="s">
        <v>422</v>
      </c>
      <c r="D280" s="216" t="str">
        <f>[2]!HsSetValue(E280,"FCC","Scenario#"&amp;R280&amp;";Years#"&amp;J280&amp;";Period#"&amp;I280&amp;";View#"&amp;S280&amp;";Entity#"&amp;H280&amp;";Data Source#"&amp;K280&amp;";Account#"&amp;F280&amp;";Intercompany#"&amp;L280&amp;";Movement#"&amp;Q280&amp;";Consolidation#"&amp;T280&amp;";Custom1#"&amp;M280&amp;";Custom2#"&amp;N280&amp;";Custom3#"&amp;O280&amp;";Custom4#"&amp;P280&amp;"")</f>
        <v>#Invalid Syntax</v>
      </c>
      <c r="E280" s="216">
        <f>SUMIFS('Investment Analysis'!$H$22:$H$69,'Investment Analysis'!$E$22:$E$69,"Equity Securities-Domestic",'Investment Analysis'!$AB$22:$AB$69,"0")+SUMIFS('Investment Analysis'!$H$22:$H$69,'Investment Analysis'!$E$22:$E$69,"Equity Securities-Domestic",'Investment Analysis'!$AI$22:$AI$69,"0")</f>
        <v>0</v>
      </c>
      <c r="F280" s="217" t="s">
        <v>674</v>
      </c>
      <c r="G280" s="217" t="s">
        <v>1051</v>
      </c>
      <c r="H280" s="218" t="e">
        <f t="shared" si="100"/>
        <v>#N/A</v>
      </c>
      <c r="I280" s="218" t="str">
        <f t="shared" si="100"/>
        <v>Jun</v>
      </c>
      <c r="J280" s="217" t="str">
        <f t="shared" si="100"/>
        <v>FY25</v>
      </c>
      <c r="K280" s="217" t="str">
        <f t="shared" si="100"/>
        <v>FCCS_Other Data</v>
      </c>
      <c r="L280" s="217" t="str">
        <f t="shared" si="100"/>
        <v>FCCS_No Intercompany</v>
      </c>
      <c r="M280" s="217" t="str">
        <f t="shared" si="101"/>
        <v>No Custom1</v>
      </c>
      <c r="N280" s="217" t="str">
        <f t="shared" si="100"/>
        <v>No Custom2</v>
      </c>
      <c r="O280" s="217" t="s">
        <v>609</v>
      </c>
      <c r="P280" s="217" t="s">
        <v>568</v>
      </c>
      <c r="Q280" s="217" t="str">
        <f t="shared" si="102"/>
        <v>FCCS_ClosingBalance_Input</v>
      </c>
      <c r="R280" s="217" t="str">
        <f t="shared" si="103"/>
        <v>Actual</v>
      </c>
      <c r="S280" s="217" t="str">
        <f t="shared" si="103"/>
        <v>FCCS_YTD_Input</v>
      </c>
      <c r="T280" s="217" t="s">
        <v>850</v>
      </c>
    </row>
    <row r="281" spans="2:20" x14ac:dyDescent="0.3">
      <c r="B281" s="210"/>
      <c r="C281" s="211"/>
      <c r="D281" s="212"/>
      <c r="E281" s="212"/>
    </row>
    <row r="282" spans="2:20" x14ac:dyDescent="0.3">
      <c r="B282" s="219" t="s">
        <v>1014</v>
      </c>
      <c r="C282" s="220" t="s">
        <v>422</v>
      </c>
      <c r="D282" s="221" t="str">
        <f>[2]!HsSetValue(E282,"FCC","Scenario#"&amp;R282&amp;";Years#"&amp;J282&amp;";Period#"&amp;I282&amp;";View#"&amp;S282&amp;";Entity#"&amp;H282&amp;";Data Source#"&amp;K282&amp;";Account#"&amp;F282&amp;";Intercompany#"&amp;L282&amp;";Movement#"&amp;Q282&amp;";Consolidation#"&amp;T282&amp;";Custom1#"&amp;M282&amp;";Custom2#"&amp;N282&amp;";Custom3#"&amp;O282&amp;";Custom4#"&amp;P282&amp;"")</f>
        <v>#Invalid Syntax</v>
      </c>
      <c r="E282" s="221">
        <f>SUMIFS('Investment Analysis'!$H$22:$H$69,'Investment Analysis'!$E$22:$E$69,"Equity Securities-Domestic",'Investment Analysis'!$AK$22:$AK$69,"21")</f>
        <v>0</v>
      </c>
      <c r="F282" s="222" t="s">
        <v>675</v>
      </c>
      <c r="G282" s="222" t="s">
        <v>1021</v>
      </c>
      <c r="H282" s="223" t="e">
        <f>+H$2</f>
        <v>#N/A</v>
      </c>
      <c r="I282" s="223" t="str">
        <f t="shared" ref="I282:I286" si="104">+I$2</f>
        <v>Jun</v>
      </c>
      <c r="J282" s="222" t="str">
        <f>+J$2</f>
        <v>FY25</v>
      </c>
      <c r="K282" s="222" t="s">
        <v>843</v>
      </c>
      <c r="L282" s="222" t="s">
        <v>844</v>
      </c>
      <c r="M282" s="222" t="s">
        <v>845</v>
      </c>
      <c r="N282" s="222" t="s">
        <v>846</v>
      </c>
      <c r="O282" s="222" t="s">
        <v>729</v>
      </c>
      <c r="P282" s="222" t="s">
        <v>568</v>
      </c>
      <c r="Q282" s="222" t="str">
        <f t="shared" ref="Q282:Q286" si="105">Q$2</f>
        <v>FCCS_ClosingBalance_Input</v>
      </c>
      <c r="R282" s="222" t="s">
        <v>169</v>
      </c>
      <c r="S282" s="222" t="s">
        <v>848</v>
      </c>
      <c r="T282" s="222" t="s">
        <v>850</v>
      </c>
    </row>
    <row r="283" spans="2:20" x14ac:dyDescent="0.3">
      <c r="B283" s="219" t="s">
        <v>1014</v>
      </c>
      <c r="C283" s="220" t="s">
        <v>422</v>
      </c>
      <c r="D283" s="221" t="str">
        <f>[2]!HsSetValue(E283,"FCC","Scenario#"&amp;R283&amp;";Years#"&amp;J283&amp;";Period#"&amp;I283&amp;";View#"&amp;S283&amp;";Entity#"&amp;H283&amp;";Data Source#"&amp;K283&amp;";Account#"&amp;F283&amp;";Intercompany#"&amp;L283&amp;";Movement#"&amp;Q283&amp;";Consolidation#"&amp;T283&amp;";Custom1#"&amp;M283&amp;";Custom2#"&amp;N283&amp;";Custom3#"&amp;O283&amp;";Custom4#"&amp;P283&amp;"")</f>
        <v>#Invalid Syntax</v>
      </c>
      <c r="E283" s="221">
        <f>SUMIFS('Investment Analysis'!$H$22:$H$69,'Investment Analysis'!$E$22:$E$69,"Equity Securities-Domestic",'Investment Analysis'!$AK$22:$AK$69,"22")</f>
        <v>0</v>
      </c>
      <c r="F283" s="222" t="s">
        <v>675</v>
      </c>
      <c r="G283" s="222" t="s">
        <v>1022</v>
      </c>
      <c r="H283" s="223" t="e">
        <f>+H$2</f>
        <v>#N/A</v>
      </c>
      <c r="I283" s="223" t="str">
        <f t="shared" si="104"/>
        <v>Jun</v>
      </c>
      <c r="J283" s="222" t="str">
        <f>+J$2</f>
        <v>FY25</v>
      </c>
      <c r="K283" s="222" t="str">
        <f t="shared" ref="K283:N286" si="106">+K$2</f>
        <v>FCCS_Other Data</v>
      </c>
      <c r="L283" s="222" t="str">
        <f t="shared" si="106"/>
        <v>FCCS_No Intercompany</v>
      </c>
      <c r="M283" s="222" t="str">
        <f>+M$1</f>
        <v>No Custom1</v>
      </c>
      <c r="N283" s="222" t="str">
        <f t="shared" si="106"/>
        <v>No Custom2</v>
      </c>
      <c r="O283" s="222" t="s">
        <v>730</v>
      </c>
      <c r="P283" s="222" t="s">
        <v>568</v>
      </c>
      <c r="Q283" s="222" t="str">
        <f t="shared" si="105"/>
        <v>FCCS_ClosingBalance_Input</v>
      </c>
      <c r="R283" s="222" t="str">
        <f t="shared" ref="R283:S286" si="107">+R$2</f>
        <v>Actual</v>
      </c>
      <c r="S283" s="222" t="str">
        <f t="shared" si="107"/>
        <v>FCCS_YTD_Input</v>
      </c>
      <c r="T283" s="222" t="s">
        <v>850</v>
      </c>
    </row>
    <row r="284" spans="2:20" x14ac:dyDescent="0.3">
      <c r="B284" s="219" t="s">
        <v>1014</v>
      </c>
      <c r="C284" s="220" t="s">
        <v>422</v>
      </c>
      <c r="D284" s="221" t="str">
        <f>[2]!HsSetValue(E284,"FCC","Scenario#"&amp;R284&amp;";Years#"&amp;J284&amp;";Period#"&amp;I284&amp;";View#"&amp;S284&amp;";Entity#"&amp;H284&amp;";Data Source#"&amp;K284&amp;";Account#"&amp;F284&amp;";Intercompany#"&amp;L284&amp;";Movement#"&amp;Q284&amp;";Consolidation#"&amp;T284&amp;";Custom1#"&amp;M284&amp;";Custom2#"&amp;N284&amp;";Custom3#"&amp;O284&amp;";Custom4#"&amp;P284&amp;"")</f>
        <v>#Invalid Syntax</v>
      </c>
      <c r="E284" s="221">
        <f>SUMIFS('Investment Analysis'!$H$22:$H$69,'Investment Analysis'!$E$22:$E$69,"Equity Securities-Domestic",'Investment Analysis'!$AK$22:$AK$69,"23")</f>
        <v>0</v>
      </c>
      <c r="F284" s="222" t="s">
        <v>675</v>
      </c>
      <c r="G284" s="222" t="s">
        <v>1021</v>
      </c>
      <c r="H284" s="223" t="e">
        <f>+H$2</f>
        <v>#N/A</v>
      </c>
      <c r="I284" s="223" t="str">
        <f t="shared" si="104"/>
        <v>Jun</v>
      </c>
      <c r="J284" s="222" t="str">
        <f>+J$2</f>
        <v>FY25</v>
      </c>
      <c r="K284" s="222" t="str">
        <f t="shared" si="106"/>
        <v>FCCS_Other Data</v>
      </c>
      <c r="L284" s="222" t="str">
        <f t="shared" si="106"/>
        <v>FCCS_No Intercompany</v>
      </c>
      <c r="M284" s="222" t="str">
        <f>+M$1</f>
        <v>No Custom1</v>
      </c>
      <c r="N284" s="222" t="str">
        <f t="shared" si="106"/>
        <v>No Custom2</v>
      </c>
      <c r="O284" s="222" t="s">
        <v>731</v>
      </c>
      <c r="P284" s="222" t="s">
        <v>568</v>
      </c>
      <c r="Q284" s="222" t="str">
        <f t="shared" si="105"/>
        <v>FCCS_ClosingBalance_Input</v>
      </c>
      <c r="R284" s="222" t="str">
        <f t="shared" si="107"/>
        <v>Actual</v>
      </c>
      <c r="S284" s="222" t="str">
        <f t="shared" si="107"/>
        <v>FCCS_YTD_Input</v>
      </c>
      <c r="T284" s="222" t="s">
        <v>850</v>
      </c>
    </row>
    <row r="285" spans="2:20" x14ac:dyDescent="0.3">
      <c r="B285" s="219" t="s">
        <v>1014</v>
      </c>
      <c r="C285" s="220" t="s">
        <v>422</v>
      </c>
      <c r="D285" s="221" t="str">
        <f>[2]!HsSetValue(E285,"FCC","Scenario#"&amp;R285&amp;";Years#"&amp;J285&amp;";Period#"&amp;I285&amp;";View#"&amp;S285&amp;";Entity#"&amp;H285&amp;";Data Source#"&amp;K285&amp;";Account#"&amp;F285&amp;";Intercompany#"&amp;L285&amp;";Movement#"&amp;Q285&amp;";Consolidation#"&amp;T285&amp;";Custom1#"&amp;M285&amp;";Custom2#"&amp;N285&amp;";Custom3#"&amp;O285&amp;";Custom4#"&amp;P285&amp;"")</f>
        <v>#Invalid Syntax</v>
      </c>
      <c r="E285" s="221">
        <f>SUMIFS('Investment Analysis'!$H$22:$H$69,'Investment Analysis'!$E$22:$E$69,"Equity Securities-Domestic",'Investment Analysis'!$AK$22:$AK$69,"24")</f>
        <v>0</v>
      </c>
      <c r="F285" s="222" t="s">
        <v>675</v>
      </c>
      <c r="G285" s="222" t="s">
        <v>1021</v>
      </c>
      <c r="H285" s="223" t="e">
        <f>+H$2</f>
        <v>#N/A</v>
      </c>
      <c r="I285" s="223" t="str">
        <f t="shared" si="104"/>
        <v>Jun</v>
      </c>
      <c r="J285" s="222" t="str">
        <f>+J$2</f>
        <v>FY25</v>
      </c>
      <c r="K285" s="222" t="str">
        <f t="shared" si="106"/>
        <v>FCCS_Other Data</v>
      </c>
      <c r="L285" s="222" t="str">
        <f t="shared" si="106"/>
        <v>FCCS_No Intercompany</v>
      </c>
      <c r="M285" s="222" t="str">
        <f>+M$1</f>
        <v>No Custom1</v>
      </c>
      <c r="N285" s="222" t="str">
        <f t="shared" si="106"/>
        <v>No Custom2</v>
      </c>
      <c r="O285" s="222" t="s">
        <v>732</v>
      </c>
      <c r="P285" s="222" t="s">
        <v>568</v>
      </c>
      <c r="Q285" s="222" t="str">
        <f t="shared" si="105"/>
        <v>FCCS_ClosingBalance_Input</v>
      </c>
      <c r="R285" s="222" t="str">
        <f t="shared" si="107"/>
        <v>Actual</v>
      </c>
      <c r="S285" s="222" t="str">
        <f t="shared" si="107"/>
        <v>FCCS_YTD_Input</v>
      </c>
      <c r="T285" s="222" t="s">
        <v>850</v>
      </c>
    </row>
    <row r="286" spans="2:20" x14ac:dyDescent="0.3">
      <c r="B286" s="219" t="s">
        <v>1014</v>
      </c>
      <c r="C286" s="220" t="s">
        <v>422</v>
      </c>
      <c r="D286" s="221" t="str">
        <f>[2]!HsSetValue(E286,"FCC","Scenario#"&amp;R286&amp;";Years#"&amp;J286&amp;";Period#"&amp;I286&amp;";View#"&amp;S286&amp;";Entity#"&amp;H286&amp;";Data Source#"&amp;K286&amp;";Account#"&amp;F286&amp;";Intercompany#"&amp;L286&amp;";Movement#"&amp;Q286&amp;";Consolidation#"&amp;T286&amp;";Custom1#"&amp;M286&amp;";Custom2#"&amp;N286&amp;";Custom3#"&amp;O286&amp;";Custom4#"&amp;P286&amp;"")</f>
        <v>#Invalid Syntax</v>
      </c>
      <c r="E286" s="221">
        <f>SUMIFS('Investment Analysis'!$H$22:$H$69,'Investment Analysis'!$E$22:$E$69,"Equity Securities-Domestic",'Investment Analysis'!$AK$22:$AK$69,"25")</f>
        <v>0</v>
      </c>
      <c r="F286" s="222" t="s">
        <v>675</v>
      </c>
      <c r="G286" s="222" t="s">
        <v>1022</v>
      </c>
      <c r="H286" s="223" t="e">
        <f>+H$2</f>
        <v>#N/A</v>
      </c>
      <c r="I286" s="223" t="str">
        <f t="shared" si="104"/>
        <v>Jun</v>
      </c>
      <c r="J286" s="222" t="str">
        <f>+J$2</f>
        <v>FY25</v>
      </c>
      <c r="K286" s="222" t="str">
        <f t="shared" si="106"/>
        <v>FCCS_Other Data</v>
      </c>
      <c r="L286" s="222" t="str">
        <f t="shared" si="106"/>
        <v>FCCS_No Intercompany</v>
      </c>
      <c r="M286" s="222" t="str">
        <f>+M$1</f>
        <v>No Custom1</v>
      </c>
      <c r="N286" s="222" t="str">
        <f t="shared" si="106"/>
        <v>No Custom2</v>
      </c>
      <c r="O286" s="222" t="s">
        <v>733</v>
      </c>
      <c r="P286" s="222" t="s">
        <v>568</v>
      </c>
      <c r="Q286" s="222" t="str">
        <f t="shared" si="105"/>
        <v>FCCS_ClosingBalance_Input</v>
      </c>
      <c r="R286" s="222" t="str">
        <f t="shared" si="107"/>
        <v>Actual</v>
      </c>
      <c r="S286" s="222" t="str">
        <f t="shared" si="107"/>
        <v>FCCS_YTD_Input</v>
      </c>
      <c r="T286" s="222" t="s">
        <v>850</v>
      </c>
    </row>
    <row r="287" spans="2:20" outlineLevel="1" x14ac:dyDescent="0.3">
      <c r="B287" s="210"/>
    </row>
    <row r="288" spans="2:20" x14ac:dyDescent="0.3">
      <c r="B288" s="364" t="s">
        <v>668</v>
      </c>
      <c r="C288" s="365" t="s">
        <v>423</v>
      </c>
      <c r="D288" s="366" t="str">
        <f>[2]!HsSetValue(E288,"FCC","Scenario#"&amp;R288&amp;";Years#"&amp;J288&amp;";Period#"&amp;I288&amp;";View#"&amp;S288&amp;";Entity#"&amp;H288&amp;";Data Source#"&amp;K288&amp;";Account#"&amp;F288&amp;";Intercompany#"&amp;L288&amp;";Movement#"&amp;Q288&amp;";Consolidation#"&amp;T288&amp;";Custom1#"&amp;M288&amp;";Custom2#"&amp;N288&amp;";Custom3#"&amp;O288&amp;";Custom4#"&amp;P288&amp;"")</f>
        <v>#Invalid Syntax</v>
      </c>
      <c r="E288" s="366">
        <f>SUMIF('Investment Analysis'!$E$22:$E$69,'FCC Investments - Load Tab'!C288,'Investment Analysis'!$K$22:$K$69)</f>
        <v>0</v>
      </c>
      <c r="F288" s="367" t="s">
        <v>673</v>
      </c>
      <c r="G288" s="367" t="s">
        <v>792</v>
      </c>
      <c r="H288" s="368" t="e">
        <f>+H$2</f>
        <v>#N/A</v>
      </c>
      <c r="I288" s="368" t="str">
        <f t="shared" ref="I288:I292" si="108">+I$2</f>
        <v>Jun</v>
      </c>
      <c r="J288" s="367" t="str">
        <f>+J$2</f>
        <v>FY25</v>
      </c>
      <c r="K288" s="367" t="s">
        <v>843</v>
      </c>
      <c r="L288" s="367" t="s">
        <v>844</v>
      </c>
      <c r="M288" s="367" t="s">
        <v>845</v>
      </c>
      <c r="N288" s="367" t="s">
        <v>846</v>
      </c>
      <c r="O288" s="367" t="s">
        <v>721</v>
      </c>
      <c r="P288" s="367" t="s">
        <v>569</v>
      </c>
      <c r="Q288" s="367" t="str">
        <f t="shared" ref="Q288:Q292" si="109">Q$2</f>
        <v>FCCS_ClosingBalance_Input</v>
      </c>
      <c r="R288" s="367" t="s">
        <v>169</v>
      </c>
      <c r="S288" s="367" t="s">
        <v>848</v>
      </c>
      <c r="T288" s="367" t="s">
        <v>850</v>
      </c>
    </row>
    <row r="289" spans="2:20" x14ac:dyDescent="0.3">
      <c r="B289" s="364" t="s">
        <v>668</v>
      </c>
      <c r="C289" s="365" t="s">
        <v>423</v>
      </c>
      <c r="D289" s="366" t="str">
        <f>[2]!HsSetValue(E289,"FCC","Scenario#"&amp;R289&amp;";Years#"&amp;J289&amp;";Period#"&amp;I289&amp;";View#"&amp;S289&amp;";Entity#"&amp;H289&amp;";Data Source#"&amp;K289&amp;";Account#"&amp;F289&amp;";Intercompany#"&amp;L289&amp;";Movement#"&amp;Q289&amp;";Consolidation#"&amp;T289&amp;";Custom1#"&amp;M289&amp;";Custom2#"&amp;N289&amp;";Custom3#"&amp;O289&amp;";Custom4#"&amp;P289&amp;"")</f>
        <v>#Invalid Syntax</v>
      </c>
      <c r="E289" s="366">
        <f>SUMIF('Investment Analysis'!$E$22:$E$69,'FCC Investments - Load Tab'!C288,'Investment Analysis'!$L$22:$L$69)</f>
        <v>0</v>
      </c>
      <c r="F289" s="367" t="s">
        <v>673</v>
      </c>
      <c r="G289" s="367" t="s">
        <v>792</v>
      </c>
      <c r="H289" s="368" t="e">
        <f>+H$2</f>
        <v>#N/A</v>
      </c>
      <c r="I289" s="368" t="str">
        <f t="shared" si="108"/>
        <v>Jun</v>
      </c>
      <c r="J289" s="367" t="str">
        <f>+J$2</f>
        <v>FY25</v>
      </c>
      <c r="K289" s="367" t="str">
        <f t="shared" ref="K289:N292" si="110">+K$2</f>
        <v>FCCS_Other Data</v>
      </c>
      <c r="L289" s="367" t="str">
        <f t="shared" si="110"/>
        <v>FCCS_No Intercompany</v>
      </c>
      <c r="M289" s="367" t="str">
        <f>+M$1</f>
        <v>No Custom1</v>
      </c>
      <c r="N289" s="367" t="str">
        <f t="shared" si="110"/>
        <v>No Custom2</v>
      </c>
      <c r="O289" s="367" t="s">
        <v>722</v>
      </c>
      <c r="P289" s="367" t="s">
        <v>569</v>
      </c>
      <c r="Q289" s="367" t="str">
        <f t="shared" si="109"/>
        <v>FCCS_ClosingBalance_Input</v>
      </c>
      <c r="R289" s="367" t="str">
        <f t="shared" ref="R289:S292" si="111">+R$2</f>
        <v>Actual</v>
      </c>
      <c r="S289" s="367" t="str">
        <f t="shared" si="111"/>
        <v>FCCS_YTD_Input</v>
      </c>
      <c r="T289" s="367" t="s">
        <v>850</v>
      </c>
    </row>
    <row r="290" spans="2:20" x14ac:dyDescent="0.3">
      <c r="B290" s="364" t="s">
        <v>668</v>
      </c>
      <c r="C290" s="365" t="s">
        <v>423</v>
      </c>
      <c r="D290" s="366" t="str">
        <f>[2]!HsSetValue(E290,"FCC","Scenario#"&amp;R290&amp;";Years#"&amp;J290&amp;";Period#"&amp;I290&amp;";View#"&amp;S290&amp;";Entity#"&amp;H290&amp;";Data Source#"&amp;K290&amp;";Account#"&amp;F290&amp;";Intercompany#"&amp;L290&amp;";Movement#"&amp;Q290&amp;";Consolidation#"&amp;T290&amp;";Custom1#"&amp;M290&amp;";Custom2#"&amp;N290&amp;";Custom3#"&amp;O290&amp;";Custom4#"&amp;P290&amp;"")</f>
        <v>#Invalid Syntax</v>
      </c>
      <c r="E290" s="366">
        <f>SUMIF('Investment Analysis'!$E$22:$E$69,'FCC Investments - Load Tab'!C288,'Investment Analysis'!$M$22:$M$69)</f>
        <v>0</v>
      </c>
      <c r="F290" s="367" t="s">
        <v>673</v>
      </c>
      <c r="G290" s="367" t="s">
        <v>792</v>
      </c>
      <c r="H290" s="368" t="e">
        <f>+H$2</f>
        <v>#N/A</v>
      </c>
      <c r="I290" s="368" t="str">
        <f t="shared" si="108"/>
        <v>Jun</v>
      </c>
      <c r="J290" s="367" t="str">
        <f>+J$2</f>
        <v>FY25</v>
      </c>
      <c r="K290" s="367" t="str">
        <f t="shared" si="110"/>
        <v>FCCS_Other Data</v>
      </c>
      <c r="L290" s="367" t="str">
        <f t="shared" si="110"/>
        <v>FCCS_No Intercompany</v>
      </c>
      <c r="M290" s="367" t="str">
        <f>+M$1</f>
        <v>No Custom1</v>
      </c>
      <c r="N290" s="367" t="str">
        <f t="shared" si="110"/>
        <v>No Custom2</v>
      </c>
      <c r="O290" s="367" t="s">
        <v>723</v>
      </c>
      <c r="P290" s="367" t="s">
        <v>569</v>
      </c>
      <c r="Q290" s="367" t="str">
        <f t="shared" si="109"/>
        <v>FCCS_ClosingBalance_Input</v>
      </c>
      <c r="R290" s="367" t="str">
        <f t="shared" si="111"/>
        <v>Actual</v>
      </c>
      <c r="S290" s="367" t="str">
        <f t="shared" si="111"/>
        <v>FCCS_YTD_Input</v>
      </c>
      <c r="T290" s="367" t="s">
        <v>850</v>
      </c>
    </row>
    <row r="291" spans="2:20" x14ac:dyDescent="0.3">
      <c r="B291" s="364" t="s">
        <v>668</v>
      </c>
      <c r="C291" s="365" t="s">
        <v>423</v>
      </c>
      <c r="D291" s="366" t="str">
        <f>[2]!HsSetValue(E291,"FCC","Scenario#"&amp;R291&amp;";Years#"&amp;J291&amp;";Period#"&amp;I291&amp;";View#"&amp;S291&amp;";Entity#"&amp;H291&amp;";Data Source#"&amp;K291&amp;";Account#"&amp;F291&amp;";Intercompany#"&amp;L291&amp;";Movement#"&amp;Q291&amp;";Consolidation#"&amp;T291&amp;";Custom1#"&amp;M291&amp;";Custom2#"&amp;N291&amp;";Custom3#"&amp;O291&amp;";Custom4#"&amp;P291&amp;"")</f>
        <v>#Invalid Syntax</v>
      </c>
      <c r="E291" s="366">
        <f>SUMIF('Investment Analysis'!$E$22:$E$69,'FCC Investments - Load Tab'!C291,'Investment Analysis'!$N$22:$N$69)</f>
        <v>0</v>
      </c>
      <c r="F291" s="367" t="s">
        <v>673</v>
      </c>
      <c r="G291" s="367" t="s">
        <v>792</v>
      </c>
      <c r="H291" s="368" t="e">
        <f>+H$2</f>
        <v>#N/A</v>
      </c>
      <c r="I291" s="368" t="str">
        <f t="shared" si="108"/>
        <v>Jun</v>
      </c>
      <c r="J291" s="367" t="str">
        <f>+J$2</f>
        <v>FY25</v>
      </c>
      <c r="K291" s="367" t="str">
        <f t="shared" si="110"/>
        <v>FCCS_Other Data</v>
      </c>
      <c r="L291" s="367" t="str">
        <f t="shared" si="110"/>
        <v>FCCS_No Intercompany</v>
      </c>
      <c r="M291" s="367" t="str">
        <f>+M$1</f>
        <v>No Custom1</v>
      </c>
      <c r="N291" s="367" t="str">
        <f t="shared" si="110"/>
        <v>No Custom2</v>
      </c>
      <c r="O291" s="367" t="s">
        <v>724</v>
      </c>
      <c r="P291" s="367" t="s">
        <v>569</v>
      </c>
      <c r="Q291" s="367" t="str">
        <f t="shared" si="109"/>
        <v>FCCS_ClosingBalance_Input</v>
      </c>
      <c r="R291" s="367" t="str">
        <f t="shared" si="111"/>
        <v>Actual</v>
      </c>
      <c r="S291" s="367" t="str">
        <f t="shared" si="111"/>
        <v>FCCS_YTD_Input</v>
      </c>
      <c r="T291" s="367" t="s">
        <v>850</v>
      </c>
    </row>
    <row r="292" spans="2:20" x14ac:dyDescent="0.3">
      <c r="B292" s="364" t="s">
        <v>668</v>
      </c>
      <c r="C292" s="365" t="s">
        <v>423</v>
      </c>
      <c r="D292" s="366" t="str">
        <f>[2]!HsSetValue(E292,"FCC","Scenario#"&amp;R292&amp;";Years#"&amp;J292&amp;";Period#"&amp;I292&amp;";View#"&amp;S292&amp;";Entity#"&amp;H292&amp;";Data Source#"&amp;K292&amp;";Account#"&amp;F292&amp;";Intercompany#"&amp;L292&amp;";Movement#"&amp;Q292&amp;";Consolidation#"&amp;T292&amp;";Custom1#"&amp;M292&amp;";Custom2#"&amp;N292&amp;";Custom3#"&amp;O292&amp;";Custom4#"&amp;P292&amp;"")</f>
        <v>#Invalid Syntax</v>
      </c>
      <c r="E292" s="366">
        <f>SUMIF('Investment Analysis'!$E$2:$E$69,'FCC Investments - Load Tab'!C292,'Investment Analysis'!$O$2:$O$69)</f>
        <v>0</v>
      </c>
      <c r="F292" s="367" t="s">
        <v>673</v>
      </c>
      <c r="G292" s="367" t="s">
        <v>792</v>
      </c>
      <c r="H292" s="368" t="e">
        <f>+H$2</f>
        <v>#N/A</v>
      </c>
      <c r="I292" s="368" t="str">
        <f t="shared" si="108"/>
        <v>Jun</v>
      </c>
      <c r="J292" s="367" t="str">
        <f>+J$2</f>
        <v>FY25</v>
      </c>
      <c r="K292" s="367" t="str">
        <f t="shared" si="110"/>
        <v>FCCS_Other Data</v>
      </c>
      <c r="L292" s="367" t="str">
        <f t="shared" si="110"/>
        <v>FCCS_No Intercompany</v>
      </c>
      <c r="M292" s="367" t="str">
        <f>+M$1</f>
        <v>No Custom1</v>
      </c>
      <c r="N292" s="367" t="str">
        <f t="shared" si="110"/>
        <v>No Custom2</v>
      </c>
      <c r="O292" s="367" t="s">
        <v>725</v>
      </c>
      <c r="P292" s="367" t="s">
        <v>569</v>
      </c>
      <c r="Q292" s="367" t="str">
        <f t="shared" si="109"/>
        <v>FCCS_ClosingBalance_Input</v>
      </c>
      <c r="R292" s="367" t="str">
        <f t="shared" si="111"/>
        <v>Actual</v>
      </c>
      <c r="S292" s="367" t="str">
        <f t="shared" si="111"/>
        <v>FCCS_YTD_Input</v>
      </c>
      <c r="T292" s="367" t="s">
        <v>850</v>
      </c>
    </row>
    <row r="293" spans="2:20" outlineLevel="1" x14ac:dyDescent="0.3">
      <c r="B293" s="210"/>
    </row>
    <row r="294" spans="2:20" x14ac:dyDescent="0.3">
      <c r="B294" s="214" t="s">
        <v>667</v>
      </c>
      <c r="C294" s="215" t="s">
        <v>423</v>
      </c>
      <c r="D294" s="216" t="str">
        <f>[2]!HsSetValue(E294,"FCC","Scenario#"&amp;R294&amp;";Years#"&amp;J294&amp;";Period#"&amp;I294&amp;";View#"&amp;S294&amp;";Entity#"&amp;H294&amp;";Data Source#"&amp;K294&amp;";Account#"&amp;F294&amp;";Intercompany#"&amp;L294&amp;";Movement#"&amp;Q294&amp;";Consolidation#"&amp;T294&amp;";Custom1#"&amp;M294&amp;";Custom2#"&amp;N294&amp;";Custom3#"&amp;O294&amp;";Custom4#"&amp;P294&amp;"")</f>
        <v>#Invalid Syntax</v>
      </c>
      <c r="E294" s="216">
        <f>SUMIFS('Investment Analysis'!$H$22:$H$69,'Investment Analysis'!$E$22:$E$69,"Equity Securities-International",'Investment Analysis'!$AB$22:$AB$69,"10")</f>
        <v>0</v>
      </c>
      <c r="F294" s="217" t="s">
        <v>674</v>
      </c>
      <c r="G294" s="217" t="s">
        <v>1053</v>
      </c>
      <c r="H294" s="218" t="e">
        <f t="shared" ref="H294:N307" si="112">+H$2</f>
        <v>#N/A</v>
      </c>
      <c r="I294" s="218" t="str">
        <f t="shared" si="112"/>
        <v>Jun</v>
      </c>
      <c r="J294" s="217" t="str">
        <f t="shared" si="112"/>
        <v>FY25</v>
      </c>
      <c r="K294" s="217" t="str">
        <f t="shared" si="112"/>
        <v>FCCS_Other Data</v>
      </c>
      <c r="L294" s="217" t="str">
        <f t="shared" si="112"/>
        <v>FCCS_No Intercompany</v>
      </c>
      <c r="M294" s="217" t="str">
        <f t="shared" ref="M294:M307" si="113">+M$1</f>
        <v>No Custom1</v>
      </c>
      <c r="N294" s="217" t="str">
        <f t="shared" si="112"/>
        <v>No Custom2</v>
      </c>
      <c r="O294" s="217" t="s">
        <v>433</v>
      </c>
      <c r="P294" s="217" t="s">
        <v>569</v>
      </c>
      <c r="Q294" s="217" t="str">
        <f t="shared" ref="Q294:Q307" si="114">Q$2</f>
        <v>FCCS_ClosingBalance_Input</v>
      </c>
      <c r="R294" s="217" t="str">
        <f t="shared" ref="R294:S307" si="115">+R$2</f>
        <v>Actual</v>
      </c>
      <c r="S294" s="217" t="str">
        <f t="shared" si="115"/>
        <v>FCCS_YTD_Input</v>
      </c>
      <c r="T294" s="217" t="s">
        <v>850</v>
      </c>
    </row>
    <row r="295" spans="2:20" x14ac:dyDescent="0.3">
      <c r="B295" s="214" t="s">
        <v>667</v>
      </c>
      <c r="C295" s="215" t="s">
        <v>423</v>
      </c>
      <c r="D295" s="216" t="str">
        <f>[2]!HsSetValue(E295,"FCC","Scenario#"&amp;R295&amp;";Years#"&amp;J295&amp;";Period#"&amp;I295&amp;";View#"&amp;S295&amp;";Entity#"&amp;H295&amp;";Data Source#"&amp;K295&amp;";Account#"&amp;F295&amp;";Intercompany#"&amp;L295&amp;";Movement#"&amp;Q295&amp;";Consolidation#"&amp;T295&amp;";Custom1#"&amp;M295&amp;";Custom2#"&amp;N295&amp;";Custom3#"&amp;O295&amp;";Custom4#"&amp;P295&amp;"")</f>
        <v>#Invalid Syntax</v>
      </c>
      <c r="E295" s="216">
        <f>SUMIFS('Investment Analysis'!$H$22:$H$69,'Investment Analysis'!$E$22:$E$69,"Equity Securities-International",'Investment Analysis'!$AB$22:$AB$69,"9")</f>
        <v>0</v>
      </c>
      <c r="F295" s="217" t="s">
        <v>674</v>
      </c>
      <c r="G295" s="217" t="s">
        <v>1053</v>
      </c>
      <c r="H295" s="218" t="e">
        <f t="shared" si="112"/>
        <v>#N/A</v>
      </c>
      <c r="I295" s="218" t="str">
        <f t="shared" si="112"/>
        <v>Jun</v>
      </c>
      <c r="J295" s="217" t="str">
        <f t="shared" si="112"/>
        <v>FY25</v>
      </c>
      <c r="K295" s="217" t="str">
        <f t="shared" si="112"/>
        <v>FCCS_Other Data</v>
      </c>
      <c r="L295" s="217" t="str">
        <f t="shared" si="112"/>
        <v>FCCS_No Intercompany</v>
      </c>
      <c r="M295" s="217" t="str">
        <f t="shared" si="113"/>
        <v>No Custom1</v>
      </c>
      <c r="N295" s="217" t="str">
        <f t="shared" si="112"/>
        <v>No Custom2</v>
      </c>
      <c r="O295" s="217" t="s">
        <v>596</v>
      </c>
      <c r="P295" s="217" t="s">
        <v>569</v>
      </c>
      <c r="Q295" s="217" t="str">
        <f t="shared" si="114"/>
        <v>FCCS_ClosingBalance_Input</v>
      </c>
      <c r="R295" s="217" t="str">
        <f t="shared" si="115"/>
        <v>Actual</v>
      </c>
      <c r="S295" s="217" t="str">
        <f t="shared" si="115"/>
        <v>FCCS_YTD_Input</v>
      </c>
      <c r="T295" s="217" t="s">
        <v>850</v>
      </c>
    </row>
    <row r="296" spans="2:20" x14ac:dyDescent="0.3">
      <c r="B296" s="214" t="s">
        <v>667</v>
      </c>
      <c r="C296" s="215" t="s">
        <v>423</v>
      </c>
      <c r="D296" s="216" t="str">
        <f>[2]!HsSetValue(E296,"FCC","Scenario#"&amp;R296&amp;";Years#"&amp;J296&amp;";Period#"&amp;I296&amp;";View#"&amp;S296&amp;";Entity#"&amp;H296&amp;";Data Source#"&amp;K296&amp;";Account#"&amp;F296&amp;";Intercompany#"&amp;L296&amp;";Movement#"&amp;Q296&amp;";Consolidation#"&amp;T296&amp;";Custom1#"&amp;M296&amp;";Custom2#"&amp;N296&amp;";Custom3#"&amp;O296&amp;";Custom4#"&amp;P296&amp;"")</f>
        <v>#Invalid Syntax</v>
      </c>
      <c r="E296" s="216">
        <f>SUMIFS('Investment Analysis'!$H$22:$H$69,'Investment Analysis'!$E$22:$E$69,"Equity Securities-International",'Investment Analysis'!$AB$22:$AB$69,"8")</f>
        <v>0</v>
      </c>
      <c r="F296" s="217" t="s">
        <v>674</v>
      </c>
      <c r="G296" s="217" t="s">
        <v>1053</v>
      </c>
      <c r="H296" s="218" t="e">
        <f t="shared" si="112"/>
        <v>#N/A</v>
      </c>
      <c r="I296" s="218" t="str">
        <f t="shared" si="112"/>
        <v>Jun</v>
      </c>
      <c r="J296" s="217" t="str">
        <f t="shared" si="112"/>
        <v>FY25</v>
      </c>
      <c r="K296" s="217" t="str">
        <f t="shared" si="112"/>
        <v>FCCS_Other Data</v>
      </c>
      <c r="L296" s="217" t="str">
        <f t="shared" si="112"/>
        <v>FCCS_No Intercompany</v>
      </c>
      <c r="M296" s="217" t="str">
        <f t="shared" si="113"/>
        <v>No Custom1</v>
      </c>
      <c r="N296" s="217" t="str">
        <f t="shared" si="112"/>
        <v>No Custom2</v>
      </c>
      <c r="O296" s="217" t="s">
        <v>61</v>
      </c>
      <c r="P296" s="217" t="s">
        <v>569</v>
      </c>
      <c r="Q296" s="217" t="str">
        <f t="shared" si="114"/>
        <v>FCCS_ClosingBalance_Input</v>
      </c>
      <c r="R296" s="217" t="str">
        <f t="shared" si="115"/>
        <v>Actual</v>
      </c>
      <c r="S296" s="217" t="str">
        <f t="shared" si="115"/>
        <v>FCCS_YTD_Input</v>
      </c>
      <c r="T296" s="217" t="s">
        <v>850</v>
      </c>
    </row>
    <row r="297" spans="2:20" x14ac:dyDescent="0.3">
      <c r="B297" s="214" t="s">
        <v>667</v>
      </c>
      <c r="C297" s="215" t="s">
        <v>423</v>
      </c>
      <c r="D297" s="216" t="str">
        <f>[2]!HsSetValue(E297,"FCC","Scenario#"&amp;R297&amp;";Years#"&amp;J297&amp;";Period#"&amp;I297&amp;";View#"&amp;S297&amp;";Entity#"&amp;H297&amp;";Data Source#"&amp;K297&amp;";Account#"&amp;F297&amp;";Intercompany#"&amp;L297&amp;";Movement#"&amp;Q297&amp;";Consolidation#"&amp;T297&amp;";Custom1#"&amp;M297&amp;";Custom2#"&amp;N297&amp;";Custom3#"&amp;O297&amp;";Custom4#"&amp;P297&amp;"")</f>
        <v>#Invalid Syntax</v>
      </c>
      <c r="E297" s="216">
        <f>SUMIFS('Investment Analysis'!$H$22:$H$69,'Investment Analysis'!$E$22:$E$69,"Equity Securities-International",'Investment Analysis'!$AB$22:$AB$69,"7")</f>
        <v>0</v>
      </c>
      <c r="F297" s="217" t="s">
        <v>674</v>
      </c>
      <c r="G297" s="217" t="s">
        <v>1053</v>
      </c>
      <c r="H297" s="218" t="e">
        <f t="shared" si="112"/>
        <v>#N/A</v>
      </c>
      <c r="I297" s="218" t="str">
        <f t="shared" si="112"/>
        <v>Jun</v>
      </c>
      <c r="J297" s="217" t="str">
        <f t="shared" si="112"/>
        <v>FY25</v>
      </c>
      <c r="K297" s="217" t="str">
        <f t="shared" si="112"/>
        <v>FCCS_Other Data</v>
      </c>
      <c r="L297" s="217" t="str">
        <f t="shared" si="112"/>
        <v>FCCS_No Intercompany</v>
      </c>
      <c r="M297" s="217" t="str">
        <f t="shared" si="113"/>
        <v>No Custom1</v>
      </c>
      <c r="N297" s="217" t="str">
        <f t="shared" si="112"/>
        <v>No Custom2</v>
      </c>
      <c r="O297" s="217" t="s">
        <v>62</v>
      </c>
      <c r="P297" s="217" t="s">
        <v>569</v>
      </c>
      <c r="Q297" s="217" t="str">
        <f t="shared" si="114"/>
        <v>FCCS_ClosingBalance_Input</v>
      </c>
      <c r="R297" s="217" t="str">
        <f t="shared" si="115"/>
        <v>Actual</v>
      </c>
      <c r="S297" s="217" t="str">
        <f t="shared" si="115"/>
        <v>FCCS_YTD_Input</v>
      </c>
      <c r="T297" s="217" t="s">
        <v>850</v>
      </c>
    </row>
    <row r="298" spans="2:20" x14ac:dyDescent="0.3">
      <c r="B298" s="214" t="s">
        <v>667</v>
      </c>
      <c r="C298" s="215" t="s">
        <v>423</v>
      </c>
      <c r="D298" s="216" t="str">
        <f>[2]!HsSetValue(E298,"FCC","Scenario#"&amp;R298&amp;";Years#"&amp;J298&amp;";Period#"&amp;I298&amp;";View#"&amp;S298&amp;";Entity#"&amp;H298&amp;";Data Source#"&amp;K298&amp;";Account#"&amp;F298&amp;";Intercompany#"&amp;L298&amp;";Movement#"&amp;Q298&amp;";Consolidation#"&amp;T298&amp;";Custom1#"&amp;M298&amp;";Custom2#"&amp;N298&amp;";Custom3#"&amp;O298&amp;";Custom4#"&amp;P298&amp;"")</f>
        <v>#Invalid Syntax</v>
      </c>
      <c r="E298" s="216">
        <f>SUMIFS('Investment Analysis'!$H$22:$H$69,'Investment Analysis'!$E$22:$E$69,"Equity Securities-International",'Investment Analysis'!$AB$22:$AB$69,"6")</f>
        <v>0</v>
      </c>
      <c r="F298" s="217" t="s">
        <v>674</v>
      </c>
      <c r="G298" s="217" t="s">
        <v>1053</v>
      </c>
      <c r="H298" s="218" t="e">
        <f t="shared" si="112"/>
        <v>#N/A</v>
      </c>
      <c r="I298" s="218" t="str">
        <f t="shared" si="112"/>
        <v>Jun</v>
      </c>
      <c r="J298" s="217" t="str">
        <f t="shared" si="112"/>
        <v>FY25</v>
      </c>
      <c r="K298" s="217" t="str">
        <f t="shared" si="112"/>
        <v>FCCS_Other Data</v>
      </c>
      <c r="L298" s="217" t="str">
        <f t="shared" si="112"/>
        <v>FCCS_No Intercompany</v>
      </c>
      <c r="M298" s="217" t="str">
        <f t="shared" si="113"/>
        <v>No Custom1</v>
      </c>
      <c r="N298" s="217" t="str">
        <f t="shared" si="112"/>
        <v>No Custom2</v>
      </c>
      <c r="O298" s="217" t="s">
        <v>436</v>
      </c>
      <c r="P298" s="217" t="s">
        <v>569</v>
      </c>
      <c r="Q298" s="217" t="str">
        <f t="shared" si="114"/>
        <v>FCCS_ClosingBalance_Input</v>
      </c>
      <c r="R298" s="217" t="str">
        <f t="shared" si="115"/>
        <v>Actual</v>
      </c>
      <c r="S298" s="217" t="str">
        <f t="shared" si="115"/>
        <v>FCCS_YTD_Input</v>
      </c>
      <c r="T298" s="217" t="s">
        <v>850</v>
      </c>
    </row>
    <row r="299" spans="2:20" s="371" customFormat="1" x14ac:dyDescent="0.3">
      <c r="B299" s="214" t="s">
        <v>667</v>
      </c>
      <c r="C299" s="215" t="s">
        <v>423</v>
      </c>
      <c r="D299" s="216" t="str">
        <f>[2]!HsSetValue(E299,"FCC","Scenario#"&amp;R299&amp;";Years#"&amp;J299&amp;";Period#"&amp;I299&amp;";View#"&amp;S299&amp;";Entity#"&amp;H299&amp;";Data Source#"&amp;K299&amp;";Account#"&amp;F299&amp;";Intercompany#"&amp;L299&amp;";Movement#"&amp;Q299&amp;";Consolidation#"&amp;T299&amp;";Custom1#"&amp;M299&amp;";Custom2#"&amp;N299&amp;";Custom3#"&amp;O299&amp;";Custom4#"&amp;P299&amp;"")</f>
        <v>#Invalid Syntax</v>
      </c>
      <c r="E299" s="216">
        <f>SUMIFS('Investment Analysis'!$H$22:$H$69,'Investment Analysis'!$E$22:$E$69,"Equity Securities-International",'Investment Analysis'!$AB$22:$AB$69,"5")</f>
        <v>0</v>
      </c>
      <c r="F299" s="217" t="s">
        <v>674</v>
      </c>
      <c r="G299" s="217" t="s">
        <v>1053</v>
      </c>
      <c r="H299" s="218" t="e">
        <f t="shared" si="112"/>
        <v>#N/A</v>
      </c>
      <c r="I299" s="218" t="str">
        <f t="shared" si="112"/>
        <v>Jun</v>
      </c>
      <c r="J299" s="217" t="str">
        <f t="shared" si="112"/>
        <v>FY25</v>
      </c>
      <c r="K299" s="217" t="str">
        <f t="shared" si="112"/>
        <v>FCCS_Other Data</v>
      </c>
      <c r="L299" s="217" t="str">
        <f t="shared" si="112"/>
        <v>FCCS_No Intercompany</v>
      </c>
      <c r="M299" s="217" t="str">
        <f t="shared" si="113"/>
        <v>No Custom1</v>
      </c>
      <c r="N299" s="217" t="str">
        <f t="shared" si="112"/>
        <v>No Custom2</v>
      </c>
      <c r="O299" s="217" t="s">
        <v>434</v>
      </c>
      <c r="P299" s="217" t="s">
        <v>569</v>
      </c>
      <c r="Q299" s="217" t="str">
        <f t="shared" si="114"/>
        <v>FCCS_ClosingBalance_Input</v>
      </c>
      <c r="R299" s="217" t="str">
        <f t="shared" si="115"/>
        <v>Actual</v>
      </c>
      <c r="S299" s="217" t="str">
        <f t="shared" si="115"/>
        <v>FCCS_YTD_Input</v>
      </c>
      <c r="T299" s="217" t="s">
        <v>850</v>
      </c>
    </row>
    <row r="300" spans="2:20" s="371" customFormat="1" x14ac:dyDescent="0.3">
      <c r="B300" s="214" t="s">
        <v>667</v>
      </c>
      <c r="C300" s="215" t="s">
        <v>423</v>
      </c>
      <c r="D300" s="216" t="str">
        <f>[2]!HsSetValue(E300,"FCC","Scenario#"&amp;R300&amp;";Years#"&amp;J300&amp;";Period#"&amp;I300&amp;";View#"&amp;S300&amp;";Entity#"&amp;H300&amp;";Data Source#"&amp;K300&amp;";Account#"&amp;F300&amp;";Intercompany#"&amp;L300&amp;";Movement#"&amp;Q300&amp;";Consolidation#"&amp;T300&amp;";Custom1#"&amp;M300&amp;";Custom2#"&amp;N300&amp;";Custom3#"&amp;O300&amp;";Custom4#"&amp;P300&amp;"")</f>
        <v>#Invalid Syntax</v>
      </c>
      <c r="E300" s="216">
        <f>SUMIFS('Investment Analysis'!$H$22:$H$69,'Investment Analysis'!$E$22:$E$69,"Equity Securities-International",'Investment Analysis'!$AB$22:$AB$69,"4")</f>
        <v>0</v>
      </c>
      <c r="F300" s="217" t="s">
        <v>674</v>
      </c>
      <c r="G300" s="217" t="s">
        <v>1053</v>
      </c>
      <c r="H300" s="218" t="e">
        <f t="shared" si="112"/>
        <v>#N/A</v>
      </c>
      <c r="I300" s="218" t="str">
        <f t="shared" si="112"/>
        <v>Jun</v>
      </c>
      <c r="J300" s="217" t="str">
        <f t="shared" si="112"/>
        <v>FY25</v>
      </c>
      <c r="K300" s="217" t="str">
        <f t="shared" si="112"/>
        <v>FCCS_Other Data</v>
      </c>
      <c r="L300" s="217" t="str">
        <f t="shared" si="112"/>
        <v>FCCS_No Intercompany</v>
      </c>
      <c r="M300" s="217" t="str">
        <f t="shared" si="113"/>
        <v>No Custom1</v>
      </c>
      <c r="N300" s="217" t="str">
        <f t="shared" si="112"/>
        <v>No Custom2</v>
      </c>
      <c r="O300" s="217" t="s">
        <v>63</v>
      </c>
      <c r="P300" s="217" t="s">
        <v>569</v>
      </c>
      <c r="Q300" s="217" t="str">
        <f t="shared" si="114"/>
        <v>FCCS_ClosingBalance_Input</v>
      </c>
      <c r="R300" s="217" t="str">
        <f t="shared" si="115"/>
        <v>Actual</v>
      </c>
      <c r="S300" s="217" t="str">
        <f t="shared" si="115"/>
        <v>FCCS_YTD_Input</v>
      </c>
      <c r="T300" s="217" t="s">
        <v>850</v>
      </c>
    </row>
    <row r="301" spans="2:20" s="371" customFormat="1" x14ac:dyDescent="0.3">
      <c r="B301" s="214" t="s">
        <v>667</v>
      </c>
      <c r="C301" s="215" t="s">
        <v>423</v>
      </c>
      <c r="D301" s="216" t="str">
        <f>[2]!HsSetValue(E301,"FCC","Scenario#"&amp;R301&amp;";Years#"&amp;J301&amp;";Period#"&amp;I301&amp;";View#"&amp;S301&amp;";Entity#"&amp;H301&amp;";Data Source#"&amp;K301&amp;";Account#"&amp;F301&amp;";Intercompany#"&amp;L301&amp;";Movement#"&amp;Q301&amp;";Consolidation#"&amp;T301&amp;";Custom1#"&amp;M301&amp;";Custom2#"&amp;N301&amp;";Custom3#"&amp;O301&amp;";Custom4#"&amp;P301&amp;"")</f>
        <v>#Invalid Syntax</v>
      </c>
      <c r="E301" s="216">
        <f>SUMIFS('Investment Analysis'!$H$22:$H$69,'Investment Analysis'!$E$22:$E$69,"Equity Securities-International",'Investment Analysis'!$AB$22:$AB$69,"3")</f>
        <v>0</v>
      </c>
      <c r="F301" s="217" t="s">
        <v>674</v>
      </c>
      <c r="G301" s="217" t="s">
        <v>1053</v>
      </c>
      <c r="H301" s="218" t="e">
        <f t="shared" si="112"/>
        <v>#N/A</v>
      </c>
      <c r="I301" s="218" t="str">
        <f t="shared" si="112"/>
        <v>Jun</v>
      </c>
      <c r="J301" s="217" t="str">
        <f t="shared" si="112"/>
        <v>FY25</v>
      </c>
      <c r="K301" s="217" t="str">
        <f t="shared" si="112"/>
        <v>FCCS_Other Data</v>
      </c>
      <c r="L301" s="217" t="str">
        <f t="shared" si="112"/>
        <v>FCCS_No Intercompany</v>
      </c>
      <c r="M301" s="217" t="str">
        <f t="shared" si="113"/>
        <v>No Custom1</v>
      </c>
      <c r="N301" s="217" t="str">
        <f t="shared" si="112"/>
        <v>No Custom2</v>
      </c>
      <c r="O301" s="217" t="s">
        <v>622</v>
      </c>
      <c r="P301" s="217" t="s">
        <v>569</v>
      </c>
      <c r="Q301" s="217" t="str">
        <f t="shared" si="114"/>
        <v>FCCS_ClosingBalance_Input</v>
      </c>
      <c r="R301" s="217" t="str">
        <f t="shared" si="115"/>
        <v>Actual</v>
      </c>
      <c r="S301" s="217" t="str">
        <f t="shared" si="115"/>
        <v>FCCS_YTD_Input</v>
      </c>
      <c r="T301" s="217" t="s">
        <v>850</v>
      </c>
    </row>
    <row r="302" spans="2:20" s="371" customFormat="1" x14ac:dyDescent="0.3">
      <c r="B302" s="214" t="s">
        <v>667</v>
      </c>
      <c r="C302" s="215" t="s">
        <v>423</v>
      </c>
      <c r="D302" s="216" t="str">
        <f>[2]!HsSetValue(E302,"FCC","Scenario#"&amp;R302&amp;";Years#"&amp;J302&amp;";Period#"&amp;I302&amp;";View#"&amp;S302&amp;";Entity#"&amp;H302&amp;";Data Source#"&amp;K302&amp;";Account#"&amp;F302&amp;";Intercompany#"&amp;L302&amp;";Movement#"&amp;Q302&amp;";Consolidation#"&amp;T302&amp;";Custom1#"&amp;M302&amp;";Custom2#"&amp;N302&amp;";Custom3#"&amp;O302&amp;";Custom4#"&amp;P302&amp;"")</f>
        <v>#Invalid Syntax</v>
      </c>
      <c r="E302" s="216">
        <f>SUMIFS('Investment Analysis'!$H$22:$H$69,'Investment Analysis'!$E$22:$E$69,"Equity Securities-International",'Investment Analysis'!$AB$22:$AB$69,"2")</f>
        <v>0</v>
      </c>
      <c r="F302" s="217" t="s">
        <v>674</v>
      </c>
      <c r="G302" s="217" t="s">
        <v>1053</v>
      </c>
      <c r="H302" s="218" t="e">
        <f t="shared" si="112"/>
        <v>#N/A</v>
      </c>
      <c r="I302" s="218" t="str">
        <f t="shared" si="112"/>
        <v>Jun</v>
      </c>
      <c r="J302" s="217" t="str">
        <f t="shared" si="112"/>
        <v>FY25</v>
      </c>
      <c r="K302" s="217" t="str">
        <f t="shared" si="112"/>
        <v>FCCS_Other Data</v>
      </c>
      <c r="L302" s="217" t="str">
        <f t="shared" si="112"/>
        <v>FCCS_No Intercompany</v>
      </c>
      <c r="M302" s="217" t="str">
        <f t="shared" si="113"/>
        <v>No Custom1</v>
      </c>
      <c r="N302" s="217" t="str">
        <f t="shared" si="112"/>
        <v>No Custom2</v>
      </c>
      <c r="O302" s="217" t="s">
        <v>618</v>
      </c>
      <c r="P302" s="217" t="s">
        <v>569</v>
      </c>
      <c r="Q302" s="217" t="str">
        <f t="shared" si="114"/>
        <v>FCCS_ClosingBalance_Input</v>
      </c>
      <c r="R302" s="217" t="str">
        <f t="shared" si="115"/>
        <v>Actual</v>
      </c>
      <c r="S302" s="217" t="str">
        <f t="shared" si="115"/>
        <v>FCCS_YTD_Input</v>
      </c>
      <c r="T302" s="217" t="s">
        <v>850</v>
      </c>
    </row>
    <row r="303" spans="2:20" s="371" customFormat="1" x14ac:dyDescent="0.3">
      <c r="B303" s="214" t="s">
        <v>667</v>
      </c>
      <c r="C303" s="215" t="s">
        <v>423</v>
      </c>
      <c r="D303" s="216" t="str">
        <f>[2]!HsSetValue(E303,"FCC","Scenario#"&amp;R303&amp;";Years#"&amp;J303&amp;";Period#"&amp;I303&amp;";View#"&amp;S303&amp;";Entity#"&amp;H303&amp;";Data Source#"&amp;K303&amp;";Account#"&amp;F303&amp;";Intercompany#"&amp;L303&amp;";Movement#"&amp;Q303&amp;";Consolidation#"&amp;T303&amp;";Custom1#"&amp;M303&amp;";Custom2#"&amp;N303&amp;";Custom3#"&amp;O303&amp;";Custom4#"&amp;P303&amp;"")</f>
        <v>#Invalid Syntax</v>
      </c>
      <c r="E303" s="216">
        <f>SUMIFS('Investment Analysis'!$H$22:$H$69,'Investment Analysis'!$E$22:$E$69,"Equity Securities-International",'Investment Analysis'!$AB$22:$AB$69,"1")</f>
        <v>0</v>
      </c>
      <c r="F303" s="217" t="s">
        <v>674</v>
      </c>
      <c r="G303" s="217" t="s">
        <v>1053</v>
      </c>
      <c r="H303" s="218" t="e">
        <f t="shared" si="112"/>
        <v>#N/A</v>
      </c>
      <c r="I303" s="218" t="str">
        <f t="shared" si="112"/>
        <v>Jun</v>
      </c>
      <c r="J303" s="217" t="str">
        <f t="shared" si="112"/>
        <v>FY25</v>
      </c>
      <c r="K303" s="217" t="str">
        <f t="shared" si="112"/>
        <v>FCCS_Other Data</v>
      </c>
      <c r="L303" s="217" t="str">
        <f t="shared" si="112"/>
        <v>FCCS_No Intercompany</v>
      </c>
      <c r="M303" s="217" t="str">
        <f t="shared" si="113"/>
        <v>No Custom1</v>
      </c>
      <c r="N303" s="217" t="str">
        <f t="shared" si="112"/>
        <v>No Custom2</v>
      </c>
      <c r="O303" s="217" t="s">
        <v>64</v>
      </c>
      <c r="P303" s="217" t="s">
        <v>569</v>
      </c>
      <c r="Q303" s="217" t="str">
        <f t="shared" si="114"/>
        <v>FCCS_ClosingBalance_Input</v>
      </c>
      <c r="R303" s="217" t="str">
        <f t="shared" si="115"/>
        <v>Actual</v>
      </c>
      <c r="S303" s="217" t="str">
        <f t="shared" si="115"/>
        <v>FCCS_YTD_Input</v>
      </c>
      <c r="T303" s="217" t="s">
        <v>850</v>
      </c>
    </row>
    <row r="304" spans="2:20" x14ac:dyDescent="0.3">
      <c r="B304" s="214" t="s">
        <v>667</v>
      </c>
      <c r="C304" s="215" t="s">
        <v>423</v>
      </c>
      <c r="D304" s="216" t="str">
        <f>[2]!HsSetValue(E304,"FCC","Scenario#"&amp;R304&amp;";Years#"&amp;J304&amp;";Period#"&amp;I304&amp;";View#"&amp;S304&amp;";Entity#"&amp;H304&amp;";Data Source#"&amp;K304&amp;";Account#"&amp;F304&amp;";Intercompany#"&amp;L304&amp;";Movement#"&amp;Q304&amp;";Consolidation#"&amp;T304&amp;";Custom1#"&amp;M304&amp;";Custom2#"&amp;N304&amp;";Custom3#"&amp;O304&amp;";Custom4#"&amp;P304&amp;"")</f>
        <v>#Invalid Syntax</v>
      </c>
      <c r="E304" s="216">
        <f>SUMIFS('Investment Analysis'!$H$22:$H$69,'Investment Analysis'!$E$22:$E$69,"Equity Securities-International",'Investment Analysis'!$AI$22:$AI$69,"16")</f>
        <v>0</v>
      </c>
      <c r="F304" s="217" t="s">
        <v>674</v>
      </c>
      <c r="G304" s="217" t="s">
        <v>1053</v>
      </c>
      <c r="H304" s="218" t="e">
        <f t="shared" si="112"/>
        <v>#N/A</v>
      </c>
      <c r="I304" s="218" t="str">
        <f t="shared" si="112"/>
        <v>Jun</v>
      </c>
      <c r="J304" s="217" t="str">
        <f t="shared" si="112"/>
        <v>FY25</v>
      </c>
      <c r="K304" s="217" t="str">
        <f t="shared" si="112"/>
        <v>FCCS_Other Data</v>
      </c>
      <c r="L304" s="217" t="str">
        <f t="shared" si="112"/>
        <v>FCCS_No Intercompany</v>
      </c>
      <c r="M304" s="217" t="str">
        <f t="shared" si="113"/>
        <v>No Custom1</v>
      </c>
      <c r="N304" s="217" t="str">
        <f t="shared" si="112"/>
        <v>No Custom2</v>
      </c>
      <c r="O304" s="217" t="s">
        <v>726</v>
      </c>
      <c r="P304" s="217" t="s">
        <v>569</v>
      </c>
      <c r="Q304" s="217" t="str">
        <f t="shared" si="114"/>
        <v>FCCS_ClosingBalance_Input</v>
      </c>
      <c r="R304" s="217" t="str">
        <f t="shared" si="115"/>
        <v>Actual</v>
      </c>
      <c r="S304" s="217" t="str">
        <f t="shared" si="115"/>
        <v>FCCS_YTD_Input</v>
      </c>
      <c r="T304" s="217" t="s">
        <v>850</v>
      </c>
    </row>
    <row r="305" spans="2:20" x14ac:dyDescent="0.3">
      <c r="B305" s="214" t="s">
        <v>667</v>
      </c>
      <c r="C305" s="215" t="s">
        <v>423</v>
      </c>
      <c r="D305" s="216" t="str">
        <f>[2]!HsSetValue(E305,"FCC","Scenario#"&amp;R305&amp;";Years#"&amp;J305&amp;";Period#"&amp;I305&amp;";View#"&amp;S305&amp;";Entity#"&amp;H305&amp;";Data Source#"&amp;K305&amp;";Account#"&amp;F305&amp;";Intercompany#"&amp;L305&amp;";Movement#"&amp;Q305&amp;";Consolidation#"&amp;T305&amp;";Custom1#"&amp;M305&amp;";Custom2#"&amp;N305&amp;";Custom3#"&amp;O305&amp;";Custom4#"&amp;P305&amp;"")</f>
        <v>#Invalid Syntax</v>
      </c>
      <c r="E305" s="216">
        <f>SUMIFS('Investment Analysis'!$H$22:$H$69,'Investment Analysis'!$E$22:$E$69,"Equity Securities-International",'Investment Analysis'!$AI$22:$AI$69,"15")</f>
        <v>0</v>
      </c>
      <c r="F305" s="217" t="s">
        <v>674</v>
      </c>
      <c r="G305" s="217" t="s">
        <v>1053</v>
      </c>
      <c r="H305" s="218" t="e">
        <f t="shared" si="112"/>
        <v>#N/A</v>
      </c>
      <c r="I305" s="218" t="str">
        <f t="shared" si="112"/>
        <v>Jun</v>
      </c>
      <c r="J305" s="217" t="str">
        <f t="shared" si="112"/>
        <v>FY25</v>
      </c>
      <c r="K305" s="217" t="str">
        <f t="shared" si="112"/>
        <v>FCCS_Other Data</v>
      </c>
      <c r="L305" s="217" t="str">
        <f t="shared" si="112"/>
        <v>FCCS_No Intercompany</v>
      </c>
      <c r="M305" s="217" t="str">
        <f t="shared" si="113"/>
        <v>No Custom1</v>
      </c>
      <c r="N305" s="217" t="str">
        <f t="shared" si="112"/>
        <v>No Custom2</v>
      </c>
      <c r="O305" s="217" t="s">
        <v>727</v>
      </c>
      <c r="P305" s="217" t="s">
        <v>569</v>
      </c>
      <c r="Q305" s="217" t="str">
        <f t="shared" si="114"/>
        <v>FCCS_ClosingBalance_Input</v>
      </c>
      <c r="R305" s="217" t="str">
        <f t="shared" si="115"/>
        <v>Actual</v>
      </c>
      <c r="S305" s="217" t="str">
        <f t="shared" si="115"/>
        <v>FCCS_YTD_Input</v>
      </c>
      <c r="T305" s="217" t="s">
        <v>850</v>
      </c>
    </row>
    <row r="306" spans="2:20" x14ac:dyDescent="0.3">
      <c r="B306" s="214" t="s">
        <v>667</v>
      </c>
      <c r="C306" s="215" t="s">
        <v>423</v>
      </c>
      <c r="D306" s="216" t="str">
        <f>[2]!HsSetValue(E306,"FCC","Scenario#"&amp;R306&amp;";Years#"&amp;J306&amp;";Period#"&amp;I306&amp;";View#"&amp;S306&amp;";Entity#"&amp;H306&amp;";Data Source#"&amp;K306&amp;";Account#"&amp;F306&amp;";Intercompany#"&amp;L306&amp;";Movement#"&amp;Q306&amp;";Consolidation#"&amp;T306&amp;";Custom1#"&amp;M306&amp;";Custom2#"&amp;N306&amp;";Custom3#"&amp;O306&amp;";Custom4#"&amp;P306&amp;"")</f>
        <v>#Invalid Syntax</v>
      </c>
      <c r="E306" s="216">
        <f>SUMIFS('Investment Analysis'!$H$22:$H$69,'Investment Analysis'!$E$22:$E$69,"Equity Securities-International",'Investment Analysis'!$AI$22:$AI$69,"14")</f>
        <v>0</v>
      </c>
      <c r="F306" s="217" t="s">
        <v>674</v>
      </c>
      <c r="G306" s="217" t="s">
        <v>1053</v>
      </c>
      <c r="H306" s="218" t="e">
        <f t="shared" si="112"/>
        <v>#N/A</v>
      </c>
      <c r="I306" s="218" t="str">
        <f t="shared" si="112"/>
        <v>Jun</v>
      </c>
      <c r="J306" s="217" t="str">
        <f t="shared" si="112"/>
        <v>FY25</v>
      </c>
      <c r="K306" s="217" t="str">
        <f t="shared" si="112"/>
        <v>FCCS_Other Data</v>
      </c>
      <c r="L306" s="217" t="str">
        <f t="shared" si="112"/>
        <v>FCCS_No Intercompany</v>
      </c>
      <c r="M306" s="217" t="str">
        <f t="shared" si="113"/>
        <v>No Custom1</v>
      </c>
      <c r="N306" s="217" t="str">
        <f t="shared" si="112"/>
        <v>No Custom2</v>
      </c>
      <c r="O306" s="217" t="s">
        <v>728</v>
      </c>
      <c r="P306" s="217" t="s">
        <v>569</v>
      </c>
      <c r="Q306" s="217" t="str">
        <f t="shared" si="114"/>
        <v>FCCS_ClosingBalance_Input</v>
      </c>
      <c r="R306" s="217" t="str">
        <f t="shared" si="115"/>
        <v>Actual</v>
      </c>
      <c r="S306" s="217" t="str">
        <f t="shared" si="115"/>
        <v>FCCS_YTD_Input</v>
      </c>
      <c r="T306" s="217" t="s">
        <v>850</v>
      </c>
    </row>
    <row r="307" spans="2:20" x14ac:dyDescent="0.3">
      <c r="B307" s="214" t="s">
        <v>667</v>
      </c>
      <c r="C307" s="215" t="s">
        <v>423</v>
      </c>
      <c r="D307" s="216" t="str">
        <f>[2]!HsSetValue(E307,"FCC","Scenario#"&amp;R307&amp;";Years#"&amp;J307&amp;";Period#"&amp;I307&amp;";View#"&amp;S307&amp;";Entity#"&amp;H307&amp;";Data Source#"&amp;K307&amp;";Account#"&amp;F307&amp;";Intercompany#"&amp;L307&amp;";Movement#"&amp;Q307&amp;";Consolidation#"&amp;T307&amp;";Custom1#"&amp;M307&amp;";Custom2#"&amp;N307&amp;";Custom3#"&amp;O307&amp;";Custom4#"&amp;P307&amp;"")</f>
        <v>#Invalid Syntax</v>
      </c>
      <c r="E307" s="216">
        <f>SUMIFS('Investment Analysis'!$H$22:$H$69,'Investment Analysis'!$E$22:$E$69,"Equity Securities-International",'Investment Analysis'!$AB$22:$AB$69,"0")+SUMIFS('Investment Analysis'!$H$22:$H$69,'Investment Analysis'!$E$22:$E$69,"Equity Securities-International",'Investment Analysis'!$AI$22:$AI$69,"0")</f>
        <v>0</v>
      </c>
      <c r="F307" s="217" t="s">
        <v>674</v>
      </c>
      <c r="G307" s="217" t="s">
        <v>1053</v>
      </c>
      <c r="H307" s="218" t="e">
        <f t="shared" si="112"/>
        <v>#N/A</v>
      </c>
      <c r="I307" s="218" t="str">
        <f t="shared" si="112"/>
        <v>Jun</v>
      </c>
      <c r="J307" s="217" t="str">
        <f t="shared" si="112"/>
        <v>FY25</v>
      </c>
      <c r="K307" s="217" t="str">
        <f t="shared" si="112"/>
        <v>FCCS_Other Data</v>
      </c>
      <c r="L307" s="217" t="str">
        <f t="shared" si="112"/>
        <v>FCCS_No Intercompany</v>
      </c>
      <c r="M307" s="217" t="str">
        <f t="shared" si="113"/>
        <v>No Custom1</v>
      </c>
      <c r="N307" s="217" t="str">
        <f t="shared" si="112"/>
        <v>No Custom2</v>
      </c>
      <c r="O307" s="217" t="s">
        <v>609</v>
      </c>
      <c r="P307" s="217" t="s">
        <v>569</v>
      </c>
      <c r="Q307" s="217" t="str">
        <f t="shared" si="114"/>
        <v>FCCS_ClosingBalance_Input</v>
      </c>
      <c r="R307" s="217" t="str">
        <f t="shared" si="115"/>
        <v>Actual</v>
      </c>
      <c r="S307" s="217" t="str">
        <f t="shared" si="115"/>
        <v>FCCS_YTD_Input</v>
      </c>
      <c r="T307" s="217" t="s">
        <v>850</v>
      </c>
    </row>
    <row r="308" spans="2:20" x14ac:dyDescent="0.3">
      <c r="B308" s="210"/>
      <c r="C308" s="211"/>
      <c r="D308" s="212"/>
      <c r="E308" s="212"/>
    </row>
    <row r="309" spans="2:20" x14ac:dyDescent="0.3">
      <c r="B309" s="219" t="s">
        <v>1014</v>
      </c>
      <c r="C309" s="220" t="s">
        <v>423</v>
      </c>
      <c r="D309" s="221" t="str">
        <f>[2]!HsSetValue(E309,"FCC","Scenario#"&amp;R309&amp;";Years#"&amp;J309&amp;";Period#"&amp;I309&amp;";View#"&amp;S309&amp;";Entity#"&amp;H309&amp;";Data Source#"&amp;K309&amp;";Account#"&amp;F309&amp;";Intercompany#"&amp;L309&amp;";Movement#"&amp;Q309&amp;";Consolidation#"&amp;T309&amp;";Custom1#"&amp;M309&amp;";Custom2#"&amp;N309&amp;";Custom3#"&amp;O309&amp;";Custom4#"&amp;P309&amp;"")</f>
        <v>#Invalid Syntax</v>
      </c>
      <c r="E309" s="221">
        <f>SUMIFS('Investment Analysis'!$H$22:$H$69,'Investment Analysis'!$E$22:$E$69,"Equity Securities-International",'Investment Analysis'!$AK$22:$AK$69,"21")</f>
        <v>0</v>
      </c>
      <c r="F309" s="222" t="s">
        <v>675</v>
      </c>
      <c r="G309" s="222" t="s">
        <v>1023</v>
      </c>
      <c r="H309" s="223" t="e">
        <f>+H$2</f>
        <v>#N/A</v>
      </c>
      <c r="I309" s="223" t="str">
        <f t="shared" ref="I309:I313" si="116">+I$2</f>
        <v>Jun</v>
      </c>
      <c r="J309" s="222" t="str">
        <f>+J$2</f>
        <v>FY25</v>
      </c>
      <c r="K309" s="222" t="s">
        <v>843</v>
      </c>
      <c r="L309" s="222" t="s">
        <v>844</v>
      </c>
      <c r="M309" s="222" t="s">
        <v>845</v>
      </c>
      <c r="N309" s="222" t="s">
        <v>846</v>
      </c>
      <c r="O309" s="222" t="s">
        <v>729</v>
      </c>
      <c r="P309" s="222" t="s">
        <v>569</v>
      </c>
      <c r="Q309" s="222" t="str">
        <f t="shared" ref="Q309:Q313" si="117">Q$2</f>
        <v>FCCS_ClosingBalance_Input</v>
      </c>
      <c r="R309" s="222" t="s">
        <v>169</v>
      </c>
      <c r="S309" s="222" t="s">
        <v>848</v>
      </c>
      <c r="T309" s="222" t="s">
        <v>850</v>
      </c>
    </row>
    <row r="310" spans="2:20" x14ac:dyDescent="0.3">
      <c r="B310" s="219" t="s">
        <v>1014</v>
      </c>
      <c r="C310" s="220" t="s">
        <v>423</v>
      </c>
      <c r="D310" s="221" t="str">
        <f>[2]!HsSetValue(E310,"FCC","Scenario#"&amp;R310&amp;";Years#"&amp;J310&amp;";Period#"&amp;I310&amp;";View#"&amp;S310&amp;";Entity#"&amp;H310&amp;";Data Source#"&amp;K310&amp;";Account#"&amp;F310&amp;";Intercompany#"&amp;L310&amp;";Movement#"&amp;Q310&amp;";Consolidation#"&amp;T310&amp;";Custom1#"&amp;M310&amp;";Custom2#"&amp;N310&amp;";Custom3#"&amp;O310&amp;";Custom4#"&amp;P310&amp;"")</f>
        <v>#Invalid Syntax</v>
      </c>
      <c r="E310" s="221">
        <f>SUMIFS('Investment Analysis'!$H$22:$H$69,'Investment Analysis'!$E$22:$E$69,"Equity Securities-International",'Investment Analysis'!$AK$22:$AK$69,"22")</f>
        <v>0</v>
      </c>
      <c r="F310" s="222" t="s">
        <v>675</v>
      </c>
      <c r="G310" s="222" t="s">
        <v>1023</v>
      </c>
      <c r="H310" s="223" t="e">
        <f>+H$2</f>
        <v>#N/A</v>
      </c>
      <c r="I310" s="223" t="str">
        <f t="shared" si="116"/>
        <v>Jun</v>
      </c>
      <c r="J310" s="222" t="str">
        <f>+J$2</f>
        <v>FY25</v>
      </c>
      <c r="K310" s="222" t="str">
        <f t="shared" ref="K310:N313" si="118">+K$2</f>
        <v>FCCS_Other Data</v>
      </c>
      <c r="L310" s="222" t="str">
        <f t="shared" si="118"/>
        <v>FCCS_No Intercompany</v>
      </c>
      <c r="M310" s="222" t="str">
        <f>+M$1</f>
        <v>No Custom1</v>
      </c>
      <c r="N310" s="222" t="str">
        <f t="shared" si="118"/>
        <v>No Custom2</v>
      </c>
      <c r="O310" s="222" t="s">
        <v>730</v>
      </c>
      <c r="P310" s="222" t="s">
        <v>569</v>
      </c>
      <c r="Q310" s="222" t="str">
        <f t="shared" si="117"/>
        <v>FCCS_ClosingBalance_Input</v>
      </c>
      <c r="R310" s="222" t="str">
        <f t="shared" ref="R310:S313" si="119">+R$2</f>
        <v>Actual</v>
      </c>
      <c r="S310" s="222" t="str">
        <f t="shared" si="119"/>
        <v>FCCS_YTD_Input</v>
      </c>
      <c r="T310" s="222" t="s">
        <v>850</v>
      </c>
    </row>
    <row r="311" spans="2:20" x14ac:dyDescent="0.3">
      <c r="B311" s="219" t="s">
        <v>1014</v>
      </c>
      <c r="C311" s="220" t="s">
        <v>423</v>
      </c>
      <c r="D311" s="221" t="str">
        <f>[2]!HsSetValue(E311,"FCC","Scenario#"&amp;R311&amp;";Years#"&amp;J311&amp;";Period#"&amp;I311&amp;";View#"&amp;S311&amp;";Entity#"&amp;H311&amp;";Data Source#"&amp;K311&amp;";Account#"&amp;F311&amp;";Intercompany#"&amp;L311&amp;";Movement#"&amp;Q311&amp;";Consolidation#"&amp;T311&amp;";Custom1#"&amp;M311&amp;";Custom2#"&amp;N311&amp;";Custom3#"&amp;O311&amp;";Custom4#"&amp;P311&amp;"")</f>
        <v>#Invalid Syntax</v>
      </c>
      <c r="E311" s="221">
        <f>SUMIFS('Investment Analysis'!$H$22:$H$69,'Investment Analysis'!$E$22:$E$69,"Equity Securities-International",'Investment Analysis'!$AK$22:$AK$69,"23")</f>
        <v>0</v>
      </c>
      <c r="F311" s="222" t="s">
        <v>675</v>
      </c>
      <c r="G311" s="222" t="s">
        <v>1023</v>
      </c>
      <c r="H311" s="223" t="e">
        <f>+H$2</f>
        <v>#N/A</v>
      </c>
      <c r="I311" s="223" t="str">
        <f t="shared" si="116"/>
        <v>Jun</v>
      </c>
      <c r="J311" s="222" t="str">
        <f>+J$2</f>
        <v>FY25</v>
      </c>
      <c r="K311" s="222" t="str">
        <f t="shared" si="118"/>
        <v>FCCS_Other Data</v>
      </c>
      <c r="L311" s="222" t="str">
        <f t="shared" si="118"/>
        <v>FCCS_No Intercompany</v>
      </c>
      <c r="M311" s="222" t="str">
        <f>+M$1</f>
        <v>No Custom1</v>
      </c>
      <c r="N311" s="222" t="str">
        <f t="shared" si="118"/>
        <v>No Custom2</v>
      </c>
      <c r="O311" s="222" t="s">
        <v>731</v>
      </c>
      <c r="P311" s="222" t="s">
        <v>569</v>
      </c>
      <c r="Q311" s="222" t="str">
        <f t="shared" si="117"/>
        <v>FCCS_ClosingBalance_Input</v>
      </c>
      <c r="R311" s="222" t="str">
        <f t="shared" si="119"/>
        <v>Actual</v>
      </c>
      <c r="S311" s="222" t="str">
        <f t="shared" si="119"/>
        <v>FCCS_YTD_Input</v>
      </c>
      <c r="T311" s="222" t="s">
        <v>850</v>
      </c>
    </row>
    <row r="312" spans="2:20" x14ac:dyDescent="0.3">
      <c r="B312" s="219" t="s">
        <v>1014</v>
      </c>
      <c r="C312" s="220" t="s">
        <v>423</v>
      </c>
      <c r="D312" s="221" t="str">
        <f>[2]!HsSetValue(E312,"FCC","Scenario#"&amp;R312&amp;";Years#"&amp;J312&amp;";Period#"&amp;I312&amp;";View#"&amp;S312&amp;";Entity#"&amp;H312&amp;";Data Source#"&amp;K312&amp;";Account#"&amp;F312&amp;";Intercompany#"&amp;L312&amp;";Movement#"&amp;Q312&amp;";Consolidation#"&amp;T312&amp;";Custom1#"&amp;M312&amp;";Custom2#"&amp;N312&amp;";Custom3#"&amp;O312&amp;";Custom4#"&amp;P312&amp;"")</f>
        <v>#Invalid Syntax</v>
      </c>
      <c r="E312" s="221">
        <f>SUMIFS('Investment Analysis'!$H$22:$H$69,'Investment Analysis'!$E$22:$E$69,"Equity Securities-International",'Investment Analysis'!$AK$22:$AK$69,"24")</f>
        <v>0</v>
      </c>
      <c r="F312" s="222" t="s">
        <v>675</v>
      </c>
      <c r="G312" s="222" t="s">
        <v>1023</v>
      </c>
      <c r="H312" s="223" t="e">
        <f>+H$2</f>
        <v>#N/A</v>
      </c>
      <c r="I312" s="223" t="str">
        <f t="shared" si="116"/>
        <v>Jun</v>
      </c>
      <c r="J312" s="222" t="str">
        <f>+J$2</f>
        <v>FY25</v>
      </c>
      <c r="K312" s="222" t="str">
        <f t="shared" si="118"/>
        <v>FCCS_Other Data</v>
      </c>
      <c r="L312" s="222" t="str">
        <f t="shared" si="118"/>
        <v>FCCS_No Intercompany</v>
      </c>
      <c r="M312" s="222" t="str">
        <f>+M$1</f>
        <v>No Custom1</v>
      </c>
      <c r="N312" s="222" t="str">
        <f t="shared" si="118"/>
        <v>No Custom2</v>
      </c>
      <c r="O312" s="222" t="s">
        <v>732</v>
      </c>
      <c r="P312" s="222" t="s">
        <v>569</v>
      </c>
      <c r="Q312" s="222" t="str">
        <f t="shared" si="117"/>
        <v>FCCS_ClosingBalance_Input</v>
      </c>
      <c r="R312" s="222" t="str">
        <f t="shared" si="119"/>
        <v>Actual</v>
      </c>
      <c r="S312" s="222" t="str">
        <f t="shared" si="119"/>
        <v>FCCS_YTD_Input</v>
      </c>
      <c r="T312" s="222" t="s">
        <v>850</v>
      </c>
    </row>
    <row r="313" spans="2:20" x14ac:dyDescent="0.3">
      <c r="B313" s="219" t="s">
        <v>1014</v>
      </c>
      <c r="C313" s="220" t="s">
        <v>423</v>
      </c>
      <c r="D313" s="221" t="str">
        <f>[2]!HsSetValue(E313,"FCC","Scenario#"&amp;R313&amp;";Years#"&amp;J313&amp;";Period#"&amp;I313&amp;";View#"&amp;S313&amp;";Entity#"&amp;H313&amp;";Data Source#"&amp;K313&amp;";Account#"&amp;F313&amp;";Intercompany#"&amp;L313&amp;";Movement#"&amp;Q313&amp;";Consolidation#"&amp;T313&amp;";Custom1#"&amp;M313&amp;";Custom2#"&amp;N313&amp;";Custom3#"&amp;O313&amp;";Custom4#"&amp;P313&amp;"")</f>
        <v>#Invalid Syntax</v>
      </c>
      <c r="E313" s="221">
        <f>SUMIFS('Investment Analysis'!$H$22:$H$69,'Investment Analysis'!$E$22:$E$69,"Equity Securities-International",'Investment Analysis'!$AK$22:$AK$69,"25")</f>
        <v>0</v>
      </c>
      <c r="F313" s="222" t="s">
        <v>675</v>
      </c>
      <c r="G313" s="222" t="s">
        <v>1023</v>
      </c>
      <c r="H313" s="223" t="e">
        <f>+H$2</f>
        <v>#N/A</v>
      </c>
      <c r="I313" s="223" t="str">
        <f t="shared" si="116"/>
        <v>Jun</v>
      </c>
      <c r="J313" s="222" t="str">
        <f>+J$2</f>
        <v>FY25</v>
      </c>
      <c r="K313" s="222" t="str">
        <f t="shared" si="118"/>
        <v>FCCS_Other Data</v>
      </c>
      <c r="L313" s="222" t="str">
        <f t="shared" si="118"/>
        <v>FCCS_No Intercompany</v>
      </c>
      <c r="M313" s="222" t="str">
        <f>+M$1</f>
        <v>No Custom1</v>
      </c>
      <c r="N313" s="222" t="str">
        <f t="shared" si="118"/>
        <v>No Custom2</v>
      </c>
      <c r="O313" s="222" t="s">
        <v>733</v>
      </c>
      <c r="P313" s="222" t="s">
        <v>569</v>
      </c>
      <c r="Q313" s="222" t="str">
        <f t="shared" si="117"/>
        <v>FCCS_ClosingBalance_Input</v>
      </c>
      <c r="R313" s="222" t="str">
        <f t="shared" si="119"/>
        <v>Actual</v>
      </c>
      <c r="S313" s="222" t="str">
        <f t="shared" si="119"/>
        <v>FCCS_YTD_Input</v>
      </c>
      <c r="T313" s="222" t="s">
        <v>850</v>
      </c>
    </row>
    <row r="314" spans="2:20" ht="14.1" customHeight="1" outlineLevel="1" x14ac:dyDescent="0.3"/>
    <row r="315" spans="2:20" x14ac:dyDescent="0.3">
      <c r="B315" s="364" t="s">
        <v>668</v>
      </c>
      <c r="C315" s="365" t="s">
        <v>465</v>
      </c>
      <c r="D315" s="366" t="str">
        <f>[2]!HsSetValue(E315,"FCC","Scenario#"&amp;R315&amp;";Years#"&amp;J315&amp;";Period#"&amp;I315&amp;";View#"&amp;S315&amp;";Entity#"&amp;H315&amp;";Data Source#"&amp;K315&amp;";Account#"&amp;F315&amp;";Intercompany#"&amp;L315&amp;";Movement#"&amp;Q315&amp;";Consolidation#"&amp;T315&amp;";Custom1#"&amp;M315&amp;";Custom2#"&amp;N315&amp;";Custom3#"&amp;O315&amp;";Custom4#"&amp;P315&amp;"")</f>
        <v>#Invalid Syntax</v>
      </c>
      <c r="E315" s="366">
        <f>SUMIF('Investment Analysis'!$E$22:$E$69,'FCC Investments - Load Tab'!C315,'Investment Analysis'!$K$22:$K$69)</f>
        <v>0</v>
      </c>
      <c r="F315" s="367" t="s">
        <v>673</v>
      </c>
      <c r="G315" s="367" t="s">
        <v>690</v>
      </c>
      <c r="H315" s="368" t="e">
        <f>+H$2</f>
        <v>#N/A</v>
      </c>
      <c r="I315" s="368" t="str">
        <f t="shared" ref="I315:I319" si="120">+I$2</f>
        <v>Jun</v>
      </c>
      <c r="J315" s="367" t="str">
        <f>+J$2</f>
        <v>FY25</v>
      </c>
      <c r="K315" s="367" t="s">
        <v>843</v>
      </c>
      <c r="L315" s="367" t="s">
        <v>844</v>
      </c>
      <c r="M315" s="367" t="s">
        <v>845</v>
      </c>
      <c r="N315" s="367" t="s">
        <v>846</v>
      </c>
      <c r="O315" s="367" t="s">
        <v>721</v>
      </c>
      <c r="P315" s="367" t="s">
        <v>570</v>
      </c>
      <c r="Q315" s="367" t="str">
        <f t="shared" ref="Q315:Q319" si="121">Q$2</f>
        <v>FCCS_ClosingBalance_Input</v>
      </c>
      <c r="R315" s="367" t="s">
        <v>169</v>
      </c>
      <c r="S315" s="367" t="s">
        <v>848</v>
      </c>
      <c r="T315" s="367" t="s">
        <v>850</v>
      </c>
    </row>
    <row r="316" spans="2:20" x14ac:dyDescent="0.3">
      <c r="B316" s="364" t="s">
        <v>668</v>
      </c>
      <c r="C316" s="365" t="s">
        <v>465</v>
      </c>
      <c r="D316" s="366" t="str">
        <f>[2]!HsSetValue(E316,"FCC","Scenario#"&amp;R316&amp;";Years#"&amp;J316&amp;";Period#"&amp;I316&amp;";View#"&amp;S316&amp;";Entity#"&amp;H316&amp;";Data Source#"&amp;K316&amp;";Account#"&amp;F316&amp;";Intercompany#"&amp;L316&amp;";Movement#"&amp;Q316&amp;";Consolidation#"&amp;T316&amp;";Custom1#"&amp;M316&amp;";Custom2#"&amp;N316&amp;";Custom3#"&amp;O316&amp;";Custom4#"&amp;P316&amp;"")</f>
        <v>#Invalid Syntax</v>
      </c>
      <c r="E316" s="366">
        <f>SUMIF('Investment Analysis'!$E$22:$E$69,'FCC Investments - Load Tab'!C315,'Investment Analysis'!$L$22:$L$69)</f>
        <v>0</v>
      </c>
      <c r="F316" s="367" t="s">
        <v>673</v>
      </c>
      <c r="G316" s="367" t="s">
        <v>690</v>
      </c>
      <c r="H316" s="368" t="e">
        <f>+H$2</f>
        <v>#N/A</v>
      </c>
      <c r="I316" s="368" t="str">
        <f t="shared" si="120"/>
        <v>Jun</v>
      </c>
      <c r="J316" s="367" t="str">
        <f>+J$2</f>
        <v>FY25</v>
      </c>
      <c r="K316" s="367" t="str">
        <f t="shared" ref="K316:N319" si="122">+K$2</f>
        <v>FCCS_Other Data</v>
      </c>
      <c r="L316" s="367" t="str">
        <f t="shared" si="122"/>
        <v>FCCS_No Intercompany</v>
      </c>
      <c r="M316" s="367" t="str">
        <f>+M$1</f>
        <v>No Custom1</v>
      </c>
      <c r="N316" s="367" t="str">
        <f t="shared" si="122"/>
        <v>No Custom2</v>
      </c>
      <c r="O316" s="367" t="s">
        <v>722</v>
      </c>
      <c r="P316" s="367" t="s">
        <v>570</v>
      </c>
      <c r="Q316" s="367" t="str">
        <f t="shared" si="121"/>
        <v>FCCS_ClosingBalance_Input</v>
      </c>
      <c r="R316" s="367" t="str">
        <f t="shared" ref="R316:S319" si="123">+R$2</f>
        <v>Actual</v>
      </c>
      <c r="S316" s="367" t="str">
        <f t="shared" si="123"/>
        <v>FCCS_YTD_Input</v>
      </c>
      <c r="T316" s="367" t="s">
        <v>850</v>
      </c>
    </row>
    <row r="317" spans="2:20" x14ac:dyDescent="0.3">
      <c r="B317" s="364" t="s">
        <v>668</v>
      </c>
      <c r="C317" s="365" t="s">
        <v>465</v>
      </c>
      <c r="D317" s="366" t="str">
        <f>[2]!HsSetValue(E317,"FCC","Scenario#"&amp;R317&amp;";Years#"&amp;J317&amp;";Period#"&amp;I317&amp;";View#"&amp;S317&amp;";Entity#"&amp;H317&amp;";Data Source#"&amp;K317&amp;";Account#"&amp;F317&amp;";Intercompany#"&amp;L317&amp;";Movement#"&amp;Q317&amp;";Consolidation#"&amp;T317&amp;";Custom1#"&amp;M317&amp;";Custom2#"&amp;N317&amp;";Custom3#"&amp;O317&amp;";Custom4#"&amp;P317&amp;"")</f>
        <v>#Invalid Syntax</v>
      </c>
      <c r="E317" s="366">
        <f>SUMIF('Investment Analysis'!$E$22:$E$69,'FCC Investments - Load Tab'!C315,'Investment Analysis'!$M$22:$M$69)</f>
        <v>0</v>
      </c>
      <c r="F317" s="367" t="s">
        <v>673</v>
      </c>
      <c r="G317" s="367" t="s">
        <v>690</v>
      </c>
      <c r="H317" s="368" t="e">
        <f>+H$2</f>
        <v>#N/A</v>
      </c>
      <c r="I317" s="368" t="str">
        <f t="shared" si="120"/>
        <v>Jun</v>
      </c>
      <c r="J317" s="367" t="str">
        <f>+J$2</f>
        <v>FY25</v>
      </c>
      <c r="K317" s="367" t="str">
        <f t="shared" si="122"/>
        <v>FCCS_Other Data</v>
      </c>
      <c r="L317" s="367" t="str">
        <f t="shared" si="122"/>
        <v>FCCS_No Intercompany</v>
      </c>
      <c r="M317" s="367" t="str">
        <f>+M$1</f>
        <v>No Custom1</v>
      </c>
      <c r="N317" s="367" t="str">
        <f t="shared" si="122"/>
        <v>No Custom2</v>
      </c>
      <c r="O317" s="367" t="s">
        <v>723</v>
      </c>
      <c r="P317" s="367" t="s">
        <v>570</v>
      </c>
      <c r="Q317" s="367" t="str">
        <f t="shared" si="121"/>
        <v>FCCS_ClosingBalance_Input</v>
      </c>
      <c r="R317" s="367" t="str">
        <f t="shared" si="123"/>
        <v>Actual</v>
      </c>
      <c r="S317" s="367" t="str">
        <f t="shared" si="123"/>
        <v>FCCS_YTD_Input</v>
      </c>
      <c r="T317" s="367" t="s">
        <v>850</v>
      </c>
    </row>
    <row r="318" spans="2:20" x14ac:dyDescent="0.3">
      <c r="B318" s="364" t="s">
        <v>668</v>
      </c>
      <c r="C318" s="365" t="s">
        <v>465</v>
      </c>
      <c r="D318" s="366" t="str">
        <f>[2]!HsSetValue(E318,"FCC","Scenario#"&amp;R318&amp;";Years#"&amp;J318&amp;";Period#"&amp;I318&amp;";View#"&amp;S318&amp;";Entity#"&amp;H318&amp;";Data Source#"&amp;K318&amp;";Account#"&amp;F318&amp;";Intercompany#"&amp;L318&amp;";Movement#"&amp;Q318&amp;";Consolidation#"&amp;T318&amp;";Custom1#"&amp;M318&amp;";Custom2#"&amp;N318&amp;";Custom3#"&amp;O318&amp;";Custom4#"&amp;P318&amp;"")</f>
        <v>#Invalid Syntax</v>
      </c>
      <c r="E318" s="366">
        <f>SUMIF('Investment Analysis'!$E$22:$E$69,'FCC Investments - Load Tab'!C318,'Investment Analysis'!$N$22:$N$69)</f>
        <v>0</v>
      </c>
      <c r="F318" s="367" t="s">
        <v>673</v>
      </c>
      <c r="G318" s="367" t="s">
        <v>690</v>
      </c>
      <c r="H318" s="368" t="e">
        <f>+H$2</f>
        <v>#N/A</v>
      </c>
      <c r="I318" s="368" t="str">
        <f t="shared" si="120"/>
        <v>Jun</v>
      </c>
      <c r="J318" s="367" t="str">
        <f>+J$2</f>
        <v>FY25</v>
      </c>
      <c r="K318" s="367" t="str">
        <f t="shared" si="122"/>
        <v>FCCS_Other Data</v>
      </c>
      <c r="L318" s="367" t="str">
        <f t="shared" si="122"/>
        <v>FCCS_No Intercompany</v>
      </c>
      <c r="M318" s="367" t="str">
        <f>+M$1</f>
        <v>No Custom1</v>
      </c>
      <c r="N318" s="367" t="str">
        <f t="shared" si="122"/>
        <v>No Custom2</v>
      </c>
      <c r="O318" s="367" t="s">
        <v>724</v>
      </c>
      <c r="P318" s="367" t="s">
        <v>570</v>
      </c>
      <c r="Q318" s="367" t="str">
        <f t="shared" si="121"/>
        <v>FCCS_ClosingBalance_Input</v>
      </c>
      <c r="R318" s="367" t="str">
        <f t="shared" si="123"/>
        <v>Actual</v>
      </c>
      <c r="S318" s="367" t="str">
        <f t="shared" si="123"/>
        <v>FCCS_YTD_Input</v>
      </c>
      <c r="T318" s="367" t="s">
        <v>850</v>
      </c>
    </row>
    <row r="319" spans="2:20" x14ac:dyDescent="0.3">
      <c r="B319" s="364" t="s">
        <v>668</v>
      </c>
      <c r="C319" s="365" t="s">
        <v>465</v>
      </c>
      <c r="D319" s="366" t="str">
        <f>[2]!HsSetValue(E319,"FCC","Scenario#"&amp;R319&amp;";Years#"&amp;J319&amp;";Period#"&amp;I319&amp;";View#"&amp;S319&amp;";Entity#"&amp;H319&amp;";Data Source#"&amp;K319&amp;";Account#"&amp;F319&amp;";Intercompany#"&amp;L319&amp;";Movement#"&amp;Q319&amp;";Consolidation#"&amp;T319&amp;";Custom1#"&amp;M319&amp;";Custom2#"&amp;N319&amp;";Custom3#"&amp;O319&amp;";Custom4#"&amp;P319&amp;"")</f>
        <v>#Invalid Syntax</v>
      </c>
      <c r="E319" s="366">
        <f>SUMIF('Investment Analysis'!$E$2:$E$69,'FCC Investments - Load Tab'!C319,'Investment Analysis'!$O$2:$O$69)</f>
        <v>0</v>
      </c>
      <c r="F319" s="367" t="s">
        <v>673</v>
      </c>
      <c r="G319" s="367" t="s">
        <v>690</v>
      </c>
      <c r="H319" s="368" t="e">
        <f>+H$2</f>
        <v>#N/A</v>
      </c>
      <c r="I319" s="368" t="str">
        <f t="shared" si="120"/>
        <v>Jun</v>
      </c>
      <c r="J319" s="367" t="str">
        <f>+J$2</f>
        <v>FY25</v>
      </c>
      <c r="K319" s="367" t="str">
        <f t="shared" si="122"/>
        <v>FCCS_Other Data</v>
      </c>
      <c r="L319" s="367" t="str">
        <f t="shared" si="122"/>
        <v>FCCS_No Intercompany</v>
      </c>
      <c r="M319" s="367" t="str">
        <f>+M$1</f>
        <v>No Custom1</v>
      </c>
      <c r="N319" s="367" t="str">
        <f t="shared" si="122"/>
        <v>No Custom2</v>
      </c>
      <c r="O319" s="367" t="s">
        <v>725</v>
      </c>
      <c r="P319" s="367" t="s">
        <v>570</v>
      </c>
      <c r="Q319" s="367" t="str">
        <f t="shared" si="121"/>
        <v>FCCS_ClosingBalance_Input</v>
      </c>
      <c r="R319" s="367" t="str">
        <f t="shared" si="123"/>
        <v>Actual</v>
      </c>
      <c r="S319" s="367" t="str">
        <f t="shared" si="123"/>
        <v>FCCS_YTD_Input</v>
      </c>
      <c r="T319" s="367" t="s">
        <v>850</v>
      </c>
    </row>
    <row r="321" spans="2:20" x14ac:dyDescent="0.3">
      <c r="B321" s="214" t="s">
        <v>667</v>
      </c>
      <c r="C321" s="215" t="s">
        <v>465</v>
      </c>
      <c r="D321" s="216" t="str">
        <f>[2]!HsSetValue(E321,"FCC","Scenario#"&amp;R321&amp;";Years#"&amp;J321&amp;";Period#"&amp;I321&amp;";View#"&amp;S321&amp;";Entity#"&amp;H321&amp;";Data Source#"&amp;K321&amp;";Account#"&amp;F321&amp;";Intercompany#"&amp;L321&amp;";Movement#"&amp;Q321&amp;";Consolidation#"&amp;T321&amp;";Custom1#"&amp;M321&amp;";Custom2#"&amp;N321&amp;";Custom3#"&amp;O321&amp;";Custom4#"&amp;P321&amp;"")</f>
        <v>#Invalid Syntax</v>
      </c>
      <c r="E321" s="216">
        <f>SUMIFS('Investment Analysis'!$H$22:$H$69,'Investment Analysis'!$E$22:$E$69,"Exchange Traded Funds-Debt",'Investment Analysis'!$AB$22:$AB$69,"10")</f>
        <v>0</v>
      </c>
      <c r="F321" s="217" t="s">
        <v>674</v>
      </c>
      <c r="G321" s="217" t="s">
        <v>1054</v>
      </c>
      <c r="H321" s="218" t="e">
        <f t="shared" ref="H321:N334" si="124">+H$2</f>
        <v>#N/A</v>
      </c>
      <c r="I321" s="218" t="str">
        <f t="shared" si="124"/>
        <v>Jun</v>
      </c>
      <c r="J321" s="217" t="str">
        <f t="shared" si="124"/>
        <v>FY25</v>
      </c>
      <c r="K321" s="217" t="str">
        <f t="shared" si="124"/>
        <v>FCCS_Other Data</v>
      </c>
      <c r="L321" s="217" t="str">
        <f t="shared" si="124"/>
        <v>FCCS_No Intercompany</v>
      </c>
      <c r="M321" s="217" t="str">
        <f t="shared" ref="M321:M334" si="125">+M$1</f>
        <v>No Custom1</v>
      </c>
      <c r="N321" s="217" t="str">
        <f t="shared" si="124"/>
        <v>No Custom2</v>
      </c>
      <c r="O321" s="217" t="s">
        <v>433</v>
      </c>
      <c r="P321" s="217" t="s">
        <v>570</v>
      </c>
      <c r="Q321" s="217" t="str">
        <f t="shared" ref="Q321:Q334" si="126">Q$2</f>
        <v>FCCS_ClosingBalance_Input</v>
      </c>
      <c r="R321" s="217" t="str">
        <f t="shared" ref="R321:S334" si="127">+R$2</f>
        <v>Actual</v>
      </c>
      <c r="S321" s="217" t="str">
        <f t="shared" si="127"/>
        <v>FCCS_YTD_Input</v>
      </c>
      <c r="T321" s="217" t="s">
        <v>850</v>
      </c>
    </row>
    <row r="322" spans="2:20" x14ac:dyDescent="0.3">
      <c r="B322" s="214" t="s">
        <v>667</v>
      </c>
      <c r="C322" s="215" t="s">
        <v>465</v>
      </c>
      <c r="D322" s="216" t="str">
        <f>[2]!HsSetValue(E322,"FCC","Scenario#"&amp;R322&amp;";Years#"&amp;J322&amp;";Period#"&amp;I322&amp;";View#"&amp;S322&amp;";Entity#"&amp;H322&amp;";Data Source#"&amp;K322&amp;";Account#"&amp;F322&amp;";Intercompany#"&amp;L322&amp;";Movement#"&amp;Q322&amp;";Consolidation#"&amp;T322&amp;";Custom1#"&amp;M322&amp;";Custom2#"&amp;N322&amp;";Custom3#"&amp;O322&amp;";Custom4#"&amp;P322&amp;"")</f>
        <v>#Invalid Syntax</v>
      </c>
      <c r="E322" s="216">
        <f>SUMIFS('Investment Analysis'!$H$22:$H$69,'Investment Analysis'!$E$22:$E$69,"Exchange Traded Funds-Debt",'Investment Analysis'!$AB$22:$AB$69,"9")</f>
        <v>0</v>
      </c>
      <c r="F322" s="217" t="s">
        <v>674</v>
      </c>
      <c r="G322" s="217" t="s">
        <v>1054</v>
      </c>
      <c r="H322" s="218" t="e">
        <f t="shared" si="124"/>
        <v>#N/A</v>
      </c>
      <c r="I322" s="218" t="str">
        <f t="shared" si="124"/>
        <v>Jun</v>
      </c>
      <c r="J322" s="217" t="str">
        <f t="shared" si="124"/>
        <v>FY25</v>
      </c>
      <c r="K322" s="217" t="str">
        <f t="shared" si="124"/>
        <v>FCCS_Other Data</v>
      </c>
      <c r="L322" s="217" t="str">
        <f t="shared" si="124"/>
        <v>FCCS_No Intercompany</v>
      </c>
      <c r="M322" s="217" t="str">
        <f t="shared" si="125"/>
        <v>No Custom1</v>
      </c>
      <c r="N322" s="217" t="str">
        <f t="shared" si="124"/>
        <v>No Custom2</v>
      </c>
      <c r="O322" s="217" t="s">
        <v>596</v>
      </c>
      <c r="P322" s="217" t="s">
        <v>570</v>
      </c>
      <c r="Q322" s="217" t="str">
        <f t="shared" si="126"/>
        <v>FCCS_ClosingBalance_Input</v>
      </c>
      <c r="R322" s="217" t="str">
        <f t="shared" si="127"/>
        <v>Actual</v>
      </c>
      <c r="S322" s="217" t="str">
        <f t="shared" si="127"/>
        <v>FCCS_YTD_Input</v>
      </c>
      <c r="T322" s="217" t="s">
        <v>850</v>
      </c>
    </row>
    <row r="323" spans="2:20" x14ac:dyDescent="0.3">
      <c r="B323" s="214" t="s">
        <v>667</v>
      </c>
      <c r="C323" s="215" t="s">
        <v>465</v>
      </c>
      <c r="D323" s="216" t="str">
        <f>[2]!HsSetValue(E323,"FCC","Scenario#"&amp;R323&amp;";Years#"&amp;J323&amp;";Period#"&amp;I323&amp;";View#"&amp;S323&amp;";Entity#"&amp;H323&amp;";Data Source#"&amp;K323&amp;";Account#"&amp;F323&amp;";Intercompany#"&amp;L323&amp;";Movement#"&amp;Q323&amp;";Consolidation#"&amp;T323&amp;";Custom1#"&amp;M323&amp;";Custom2#"&amp;N323&amp;";Custom3#"&amp;O323&amp;";Custom4#"&amp;P323&amp;"")</f>
        <v>#Invalid Syntax</v>
      </c>
      <c r="E323" s="216">
        <f>SUMIFS('Investment Analysis'!$H$22:$H$69,'Investment Analysis'!$E$22:$E$69,"Exchange Traded Funds-Debt",'Investment Analysis'!$AB$22:$AB$69,"8")</f>
        <v>0</v>
      </c>
      <c r="F323" s="217" t="s">
        <v>674</v>
      </c>
      <c r="G323" s="217" t="s">
        <v>1054</v>
      </c>
      <c r="H323" s="218" t="e">
        <f t="shared" si="124"/>
        <v>#N/A</v>
      </c>
      <c r="I323" s="218" t="str">
        <f t="shared" si="124"/>
        <v>Jun</v>
      </c>
      <c r="J323" s="217" t="str">
        <f t="shared" si="124"/>
        <v>FY25</v>
      </c>
      <c r="K323" s="217" t="str">
        <f t="shared" si="124"/>
        <v>FCCS_Other Data</v>
      </c>
      <c r="L323" s="217" t="str">
        <f t="shared" si="124"/>
        <v>FCCS_No Intercompany</v>
      </c>
      <c r="M323" s="217" t="str">
        <f t="shared" si="125"/>
        <v>No Custom1</v>
      </c>
      <c r="N323" s="217" t="str">
        <f t="shared" si="124"/>
        <v>No Custom2</v>
      </c>
      <c r="O323" s="217" t="s">
        <v>61</v>
      </c>
      <c r="P323" s="217" t="s">
        <v>570</v>
      </c>
      <c r="Q323" s="217" t="str">
        <f t="shared" si="126"/>
        <v>FCCS_ClosingBalance_Input</v>
      </c>
      <c r="R323" s="217" t="str">
        <f t="shared" si="127"/>
        <v>Actual</v>
      </c>
      <c r="S323" s="217" t="str">
        <f t="shared" si="127"/>
        <v>FCCS_YTD_Input</v>
      </c>
      <c r="T323" s="217" t="s">
        <v>850</v>
      </c>
    </row>
    <row r="324" spans="2:20" x14ac:dyDescent="0.3">
      <c r="B324" s="214" t="s">
        <v>667</v>
      </c>
      <c r="C324" s="215" t="s">
        <v>465</v>
      </c>
      <c r="D324" s="216" t="str">
        <f>[2]!HsSetValue(E324,"FCC","Scenario#"&amp;R324&amp;";Years#"&amp;J324&amp;";Period#"&amp;I324&amp;";View#"&amp;S324&amp;";Entity#"&amp;H324&amp;";Data Source#"&amp;K324&amp;";Account#"&amp;F324&amp;";Intercompany#"&amp;L324&amp;";Movement#"&amp;Q324&amp;";Consolidation#"&amp;T324&amp;";Custom1#"&amp;M324&amp;";Custom2#"&amp;N324&amp;";Custom3#"&amp;O324&amp;";Custom4#"&amp;P324&amp;"")</f>
        <v>#Invalid Syntax</v>
      </c>
      <c r="E324" s="216">
        <f>SUMIFS('Investment Analysis'!$H$22:$H$69,'Investment Analysis'!$E$22:$E$69,"Exchange Traded Funds-Debt",'Investment Analysis'!$AB$22:$AB$69,"7")</f>
        <v>0</v>
      </c>
      <c r="F324" s="217" t="s">
        <v>674</v>
      </c>
      <c r="G324" s="217" t="s">
        <v>1054</v>
      </c>
      <c r="H324" s="218" t="e">
        <f t="shared" si="124"/>
        <v>#N/A</v>
      </c>
      <c r="I324" s="218" t="str">
        <f t="shared" si="124"/>
        <v>Jun</v>
      </c>
      <c r="J324" s="217" t="str">
        <f t="shared" si="124"/>
        <v>FY25</v>
      </c>
      <c r="K324" s="217" t="str">
        <f t="shared" si="124"/>
        <v>FCCS_Other Data</v>
      </c>
      <c r="L324" s="217" t="str">
        <f t="shared" si="124"/>
        <v>FCCS_No Intercompany</v>
      </c>
      <c r="M324" s="217" t="str">
        <f t="shared" si="125"/>
        <v>No Custom1</v>
      </c>
      <c r="N324" s="217" t="str">
        <f t="shared" si="124"/>
        <v>No Custom2</v>
      </c>
      <c r="O324" s="217" t="s">
        <v>62</v>
      </c>
      <c r="P324" s="217" t="s">
        <v>570</v>
      </c>
      <c r="Q324" s="217" t="str">
        <f t="shared" si="126"/>
        <v>FCCS_ClosingBalance_Input</v>
      </c>
      <c r="R324" s="217" t="str">
        <f t="shared" si="127"/>
        <v>Actual</v>
      </c>
      <c r="S324" s="217" t="str">
        <f t="shared" si="127"/>
        <v>FCCS_YTD_Input</v>
      </c>
      <c r="T324" s="217" t="s">
        <v>850</v>
      </c>
    </row>
    <row r="325" spans="2:20" x14ac:dyDescent="0.3">
      <c r="B325" s="214" t="s">
        <v>667</v>
      </c>
      <c r="C325" s="215" t="s">
        <v>465</v>
      </c>
      <c r="D325" s="216" t="str">
        <f>[2]!HsSetValue(E325,"FCC","Scenario#"&amp;R325&amp;";Years#"&amp;J325&amp;";Period#"&amp;I325&amp;";View#"&amp;S325&amp;";Entity#"&amp;H325&amp;";Data Source#"&amp;K325&amp;";Account#"&amp;F325&amp;";Intercompany#"&amp;L325&amp;";Movement#"&amp;Q325&amp;";Consolidation#"&amp;T325&amp;";Custom1#"&amp;M325&amp;";Custom2#"&amp;N325&amp;";Custom3#"&amp;O325&amp;";Custom4#"&amp;P325&amp;"")</f>
        <v>#Invalid Syntax</v>
      </c>
      <c r="E325" s="216">
        <f>SUMIFS('Investment Analysis'!$H$22:$H$69,'Investment Analysis'!$E$22:$E$69,"Exchange Traded Funds-Debt",'Investment Analysis'!$AB$22:$AB$69,"6")</f>
        <v>0</v>
      </c>
      <c r="F325" s="217" t="s">
        <v>674</v>
      </c>
      <c r="G325" s="217" t="s">
        <v>1054</v>
      </c>
      <c r="H325" s="218" t="e">
        <f t="shared" si="124"/>
        <v>#N/A</v>
      </c>
      <c r="I325" s="218" t="str">
        <f t="shared" si="124"/>
        <v>Jun</v>
      </c>
      <c r="J325" s="217" t="str">
        <f t="shared" si="124"/>
        <v>FY25</v>
      </c>
      <c r="K325" s="217" t="str">
        <f t="shared" si="124"/>
        <v>FCCS_Other Data</v>
      </c>
      <c r="L325" s="217" t="str">
        <f t="shared" si="124"/>
        <v>FCCS_No Intercompany</v>
      </c>
      <c r="M325" s="217" t="str">
        <f t="shared" si="125"/>
        <v>No Custom1</v>
      </c>
      <c r="N325" s="217" t="str">
        <f t="shared" si="124"/>
        <v>No Custom2</v>
      </c>
      <c r="O325" s="217" t="s">
        <v>436</v>
      </c>
      <c r="P325" s="217" t="s">
        <v>570</v>
      </c>
      <c r="Q325" s="217" t="str">
        <f t="shared" si="126"/>
        <v>FCCS_ClosingBalance_Input</v>
      </c>
      <c r="R325" s="217" t="str">
        <f t="shared" si="127"/>
        <v>Actual</v>
      </c>
      <c r="S325" s="217" t="str">
        <f t="shared" si="127"/>
        <v>FCCS_YTD_Input</v>
      </c>
      <c r="T325" s="217" t="s">
        <v>850</v>
      </c>
    </row>
    <row r="326" spans="2:20" s="371" customFormat="1" x14ac:dyDescent="0.3">
      <c r="B326" s="214" t="s">
        <v>667</v>
      </c>
      <c r="C326" s="215" t="s">
        <v>465</v>
      </c>
      <c r="D326" s="216" t="str">
        <f>[2]!HsSetValue(E326,"FCC","Scenario#"&amp;R326&amp;";Years#"&amp;J326&amp;";Period#"&amp;I326&amp;";View#"&amp;S326&amp;";Entity#"&amp;H326&amp;";Data Source#"&amp;K326&amp;";Account#"&amp;F326&amp;";Intercompany#"&amp;L326&amp;";Movement#"&amp;Q326&amp;";Consolidation#"&amp;T326&amp;";Custom1#"&amp;M326&amp;";Custom2#"&amp;N326&amp;";Custom3#"&amp;O326&amp;";Custom4#"&amp;P326&amp;"")</f>
        <v>#Invalid Syntax</v>
      </c>
      <c r="E326" s="216">
        <f>SUMIFS('Investment Analysis'!$H$22:$H$69,'Investment Analysis'!$E$22:$E$69,"Exchange Traded Funds-Debt",'Investment Analysis'!$AB$22:$AB$69,"5")</f>
        <v>0</v>
      </c>
      <c r="F326" s="217" t="s">
        <v>674</v>
      </c>
      <c r="G326" s="217" t="s">
        <v>1054</v>
      </c>
      <c r="H326" s="218" t="e">
        <f t="shared" si="124"/>
        <v>#N/A</v>
      </c>
      <c r="I326" s="218" t="str">
        <f t="shared" si="124"/>
        <v>Jun</v>
      </c>
      <c r="J326" s="217" t="str">
        <f t="shared" si="124"/>
        <v>FY25</v>
      </c>
      <c r="K326" s="217" t="str">
        <f t="shared" si="124"/>
        <v>FCCS_Other Data</v>
      </c>
      <c r="L326" s="217" t="str">
        <f t="shared" si="124"/>
        <v>FCCS_No Intercompany</v>
      </c>
      <c r="M326" s="217" t="str">
        <f t="shared" si="125"/>
        <v>No Custom1</v>
      </c>
      <c r="N326" s="217" t="str">
        <f t="shared" si="124"/>
        <v>No Custom2</v>
      </c>
      <c r="O326" s="217" t="s">
        <v>434</v>
      </c>
      <c r="P326" s="217" t="s">
        <v>570</v>
      </c>
      <c r="Q326" s="217" t="str">
        <f t="shared" si="126"/>
        <v>FCCS_ClosingBalance_Input</v>
      </c>
      <c r="R326" s="217" t="str">
        <f t="shared" si="127"/>
        <v>Actual</v>
      </c>
      <c r="S326" s="217" t="str">
        <f t="shared" si="127"/>
        <v>FCCS_YTD_Input</v>
      </c>
      <c r="T326" s="217" t="s">
        <v>850</v>
      </c>
    </row>
    <row r="327" spans="2:20" s="371" customFormat="1" x14ac:dyDescent="0.3">
      <c r="B327" s="214" t="s">
        <v>667</v>
      </c>
      <c r="C327" s="215" t="s">
        <v>465</v>
      </c>
      <c r="D327" s="216" t="str">
        <f>[2]!HsSetValue(E327,"FCC","Scenario#"&amp;R327&amp;";Years#"&amp;J327&amp;";Period#"&amp;I327&amp;";View#"&amp;S327&amp;";Entity#"&amp;H327&amp;";Data Source#"&amp;K327&amp;";Account#"&amp;F327&amp;";Intercompany#"&amp;L327&amp;";Movement#"&amp;Q327&amp;";Consolidation#"&amp;T327&amp;";Custom1#"&amp;M327&amp;";Custom2#"&amp;N327&amp;";Custom3#"&amp;O327&amp;";Custom4#"&amp;P327&amp;"")</f>
        <v>#Invalid Syntax</v>
      </c>
      <c r="E327" s="216">
        <f>SUMIFS('Investment Analysis'!$H$22:$H$69,'Investment Analysis'!$E$22:$E$69,"Exchange Traded Funds-Debt",'Investment Analysis'!$AB$22:$AB$69,"4")</f>
        <v>0</v>
      </c>
      <c r="F327" s="217" t="s">
        <v>674</v>
      </c>
      <c r="G327" s="217" t="s">
        <v>1054</v>
      </c>
      <c r="H327" s="218" t="e">
        <f t="shared" si="124"/>
        <v>#N/A</v>
      </c>
      <c r="I327" s="218" t="str">
        <f t="shared" si="124"/>
        <v>Jun</v>
      </c>
      <c r="J327" s="217" t="str">
        <f t="shared" si="124"/>
        <v>FY25</v>
      </c>
      <c r="K327" s="217" t="str">
        <f t="shared" si="124"/>
        <v>FCCS_Other Data</v>
      </c>
      <c r="L327" s="217" t="str">
        <f t="shared" si="124"/>
        <v>FCCS_No Intercompany</v>
      </c>
      <c r="M327" s="217" t="str">
        <f t="shared" si="125"/>
        <v>No Custom1</v>
      </c>
      <c r="N327" s="217" t="str">
        <f t="shared" si="124"/>
        <v>No Custom2</v>
      </c>
      <c r="O327" s="217" t="s">
        <v>63</v>
      </c>
      <c r="P327" s="217" t="s">
        <v>570</v>
      </c>
      <c r="Q327" s="217" t="str">
        <f t="shared" si="126"/>
        <v>FCCS_ClosingBalance_Input</v>
      </c>
      <c r="R327" s="217" t="str">
        <f t="shared" si="127"/>
        <v>Actual</v>
      </c>
      <c r="S327" s="217" t="str">
        <f t="shared" si="127"/>
        <v>FCCS_YTD_Input</v>
      </c>
      <c r="T327" s="217" t="s">
        <v>850</v>
      </c>
    </row>
    <row r="328" spans="2:20" s="371" customFormat="1" x14ac:dyDescent="0.3">
      <c r="B328" s="214" t="s">
        <v>667</v>
      </c>
      <c r="C328" s="215" t="s">
        <v>465</v>
      </c>
      <c r="D328" s="216" t="str">
        <f>[2]!HsSetValue(E328,"FCC","Scenario#"&amp;R328&amp;";Years#"&amp;J328&amp;";Period#"&amp;I328&amp;";View#"&amp;S328&amp;";Entity#"&amp;H328&amp;";Data Source#"&amp;K328&amp;";Account#"&amp;F328&amp;";Intercompany#"&amp;L328&amp;";Movement#"&amp;Q328&amp;";Consolidation#"&amp;T328&amp;";Custom1#"&amp;M328&amp;";Custom2#"&amp;N328&amp;";Custom3#"&amp;O328&amp;";Custom4#"&amp;P328&amp;"")</f>
        <v>#Invalid Syntax</v>
      </c>
      <c r="E328" s="216">
        <f>SUMIFS('Investment Analysis'!$H$22:$H$69,'Investment Analysis'!$E$22:$E$69,"Exchange Traded Funds-Debt",'Investment Analysis'!$AB$22:$AB$69,"3")</f>
        <v>0</v>
      </c>
      <c r="F328" s="217" t="s">
        <v>674</v>
      </c>
      <c r="G328" s="217" t="s">
        <v>1054</v>
      </c>
      <c r="H328" s="218" t="e">
        <f t="shared" si="124"/>
        <v>#N/A</v>
      </c>
      <c r="I328" s="218" t="str">
        <f t="shared" si="124"/>
        <v>Jun</v>
      </c>
      <c r="J328" s="217" t="str">
        <f t="shared" si="124"/>
        <v>FY25</v>
      </c>
      <c r="K328" s="217" t="str">
        <f t="shared" si="124"/>
        <v>FCCS_Other Data</v>
      </c>
      <c r="L328" s="217" t="str">
        <f t="shared" si="124"/>
        <v>FCCS_No Intercompany</v>
      </c>
      <c r="M328" s="217" t="str">
        <f t="shared" si="125"/>
        <v>No Custom1</v>
      </c>
      <c r="N328" s="217" t="str">
        <f t="shared" si="124"/>
        <v>No Custom2</v>
      </c>
      <c r="O328" s="217" t="s">
        <v>622</v>
      </c>
      <c r="P328" s="217" t="s">
        <v>570</v>
      </c>
      <c r="Q328" s="217" t="str">
        <f t="shared" si="126"/>
        <v>FCCS_ClosingBalance_Input</v>
      </c>
      <c r="R328" s="217" t="str">
        <f t="shared" si="127"/>
        <v>Actual</v>
      </c>
      <c r="S328" s="217" t="str">
        <f t="shared" si="127"/>
        <v>FCCS_YTD_Input</v>
      </c>
      <c r="T328" s="217" t="s">
        <v>850</v>
      </c>
    </row>
    <row r="329" spans="2:20" s="371" customFormat="1" x14ac:dyDescent="0.3">
      <c r="B329" s="214" t="s">
        <v>667</v>
      </c>
      <c r="C329" s="215" t="s">
        <v>465</v>
      </c>
      <c r="D329" s="216" t="str">
        <f>[2]!HsSetValue(E329,"FCC","Scenario#"&amp;R329&amp;";Years#"&amp;J329&amp;";Period#"&amp;I329&amp;";View#"&amp;S329&amp;";Entity#"&amp;H329&amp;";Data Source#"&amp;K329&amp;";Account#"&amp;F329&amp;";Intercompany#"&amp;L329&amp;";Movement#"&amp;Q329&amp;";Consolidation#"&amp;T329&amp;";Custom1#"&amp;M329&amp;";Custom2#"&amp;N329&amp;";Custom3#"&amp;O329&amp;";Custom4#"&amp;P329&amp;"")</f>
        <v>#Invalid Syntax</v>
      </c>
      <c r="E329" s="216">
        <f>SUMIFS('Investment Analysis'!$H$22:$H$69,'Investment Analysis'!$E$22:$E$69,"Exchange Traded Funds-Debt",'Investment Analysis'!$AB$22:$AB$69,"2")</f>
        <v>0</v>
      </c>
      <c r="F329" s="217" t="s">
        <v>674</v>
      </c>
      <c r="G329" s="217" t="s">
        <v>1054</v>
      </c>
      <c r="H329" s="218" t="e">
        <f t="shared" si="124"/>
        <v>#N/A</v>
      </c>
      <c r="I329" s="218" t="str">
        <f t="shared" si="124"/>
        <v>Jun</v>
      </c>
      <c r="J329" s="217" t="str">
        <f t="shared" si="124"/>
        <v>FY25</v>
      </c>
      <c r="K329" s="217" t="str">
        <f t="shared" si="124"/>
        <v>FCCS_Other Data</v>
      </c>
      <c r="L329" s="217" t="str">
        <f t="shared" si="124"/>
        <v>FCCS_No Intercompany</v>
      </c>
      <c r="M329" s="217" t="str">
        <f t="shared" si="125"/>
        <v>No Custom1</v>
      </c>
      <c r="N329" s="217" t="str">
        <f t="shared" si="124"/>
        <v>No Custom2</v>
      </c>
      <c r="O329" s="217" t="s">
        <v>618</v>
      </c>
      <c r="P329" s="217" t="s">
        <v>570</v>
      </c>
      <c r="Q329" s="217" t="str">
        <f t="shared" si="126"/>
        <v>FCCS_ClosingBalance_Input</v>
      </c>
      <c r="R329" s="217" t="str">
        <f t="shared" si="127"/>
        <v>Actual</v>
      </c>
      <c r="S329" s="217" t="str">
        <f t="shared" si="127"/>
        <v>FCCS_YTD_Input</v>
      </c>
      <c r="T329" s="217" t="s">
        <v>850</v>
      </c>
    </row>
    <row r="330" spans="2:20" s="371" customFormat="1" x14ac:dyDescent="0.3">
      <c r="B330" s="214" t="s">
        <v>667</v>
      </c>
      <c r="C330" s="215" t="s">
        <v>465</v>
      </c>
      <c r="D330" s="216" t="str">
        <f>[2]!HsSetValue(E330,"FCC","Scenario#"&amp;R330&amp;";Years#"&amp;J330&amp;";Period#"&amp;I330&amp;";View#"&amp;S330&amp;";Entity#"&amp;H330&amp;";Data Source#"&amp;K330&amp;";Account#"&amp;F330&amp;";Intercompany#"&amp;L330&amp;";Movement#"&amp;Q330&amp;";Consolidation#"&amp;T330&amp;";Custom1#"&amp;M330&amp;";Custom2#"&amp;N330&amp;";Custom3#"&amp;O330&amp;";Custom4#"&amp;P330&amp;"")</f>
        <v>#Invalid Syntax</v>
      </c>
      <c r="E330" s="216">
        <f>SUMIFS('Investment Analysis'!$H$22:$H$69,'Investment Analysis'!$E$22:$E$69,"Exchange Traded Funds-Debt",'Investment Analysis'!$AB$22:$AB$69,"1")</f>
        <v>0</v>
      </c>
      <c r="F330" s="217" t="s">
        <v>674</v>
      </c>
      <c r="G330" s="217" t="s">
        <v>1054</v>
      </c>
      <c r="H330" s="218" t="e">
        <f t="shared" si="124"/>
        <v>#N/A</v>
      </c>
      <c r="I330" s="218" t="str">
        <f t="shared" si="124"/>
        <v>Jun</v>
      </c>
      <c r="J330" s="217" t="str">
        <f t="shared" si="124"/>
        <v>FY25</v>
      </c>
      <c r="K330" s="217" t="str">
        <f t="shared" si="124"/>
        <v>FCCS_Other Data</v>
      </c>
      <c r="L330" s="217" t="str">
        <f t="shared" si="124"/>
        <v>FCCS_No Intercompany</v>
      </c>
      <c r="M330" s="217" t="str">
        <f t="shared" si="125"/>
        <v>No Custom1</v>
      </c>
      <c r="N330" s="217" t="str">
        <f t="shared" si="124"/>
        <v>No Custom2</v>
      </c>
      <c r="O330" s="217" t="s">
        <v>64</v>
      </c>
      <c r="P330" s="217" t="s">
        <v>570</v>
      </c>
      <c r="Q330" s="217" t="str">
        <f t="shared" si="126"/>
        <v>FCCS_ClosingBalance_Input</v>
      </c>
      <c r="R330" s="217" t="str">
        <f t="shared" si="127"/>
        <v>Actual</v>
      </c>
      <c r="S330" s="217" t="str">
        <f t="shared" si="127"/>
        <v>FCCS_YTD_Input</v>
      </c>
      <c r="T330" s="217" t="s">
        <v>850</v>
      </c>
    </row>
    <row r="331" spans="2:20" x14ac:dyDescent="0.3">
      <c r="B331" s="214" t="s">
        <v>667</v>
      </c>
      <c r="C331" s="215" t="s">
        <v>465</v>
      </c>
      <c r="D331" s="216" t="str">
        <f>[2]!HsSetValue(E331,"FCC","Scenario#"&amp;R331&amp;";Years#"&amp;J331&amp;";Period#"&amp;I331&amp;";View#"&amp;S331&amp;";Entity#"&amp;H331&amp;";Data Source#"&amp;K331&amp;";Account#"&amp;F331&amp;";Intercompany#"&amp;L331&amp;";Movement#"&amp;Q331&amp;";Consolidation#"&amp;T331&amp;";Custom1#"&amp;M331&amp;";Custom2#"&amp;N331&amp;";Custom3#"&amp;O331&amp;";Custom4#"&amp;P331&amp;"")</f>
        <v>#Invalid Syntax</v>
      </c>
      <c r="E331" s="216">
        <f>SUMIFS('Investment Analysis'!$H$22:$H$69,'Investment Analysis'!$E$22:$E$69,"Exchange Traded Funds-Debt",'Investment Analysis'!$AI$22:$AI$69,"16")</f>
        <v>0</v>
      </c>
      <c r="F331" s="217" t="s">
        <v>674</v>
      </c>
      <c r="G331" s="217" t="s">
        <v>1054</v>
      </c>
      <c r="H331" s="218" t="e">
        <f t="shared" si="124"/>
        <v>#N/A</v>
      </c>
      <c r="I331" s="218" t="str">
        <f t="shared" si="124"/>
        <v>Jun</v>
      </c>
      <c r="J331" s="217" t="str">
        <f t="shared" si="124"/>
        <v>FY25</v>
      </c>
      <c r="K331" s="217" t="str">
        <f t="shared" si="124"/>
        <v>FCCS_Other Data</v>
      </c>
      <c r="L331" s="217" t="str">
        <f t="shared" si="124"/>
        <v>FCCS_No Intercompany</v>
      </c>
      <c r="M331" s="217" t="str">
        <f t="shared" si="125"/>
        <v>No Custom1</v>
      </c>
      <c r="N331" s="217" t="str">
        <f t="shared" si="124"/>
        <v>No Custom2</v>
      </c>
      <c r="O331" s="217" t="s">
        <v>726</v>
      </c>
      <c r="P331" s="217" t="s">
        <v>570</v>
      </c>
      <c r="Q331" s="217" t="str">
        <f t="shared" si="126"/>
        <v>FCCS_ClosingBalance_Input</v>
      </c>
      <c r="R331" s="217" t="str">
        <f t="shared" si="127"/>
        <v>Actual</v>
      </c>
      <c r="S331" s="217" t="str">
        <f t="shared" si="127"/>
        <v>FCCS_YTD_Input</v>
      </c>
      <c r="T331" s="217" t="s">
        <v>850</v>
      </c>
    </row>
    <row r="332" spans="2:20" x14ac:dyDescent="0.3">
      <c r="B332" s="214" t="s">
        <v>667</v>
      </c>
      <c r="C332" s="215" t="s">
        <v>465</v>
      </c>
      <c r="D332" s="216" t="str">
        <f>[2]!HsSetValue(E332,"FCC","Scenario#"&amp;R332&amp;";Years#"&amp;J332&amp;";Period#"&amp;I332&amp;";View#"&amp;S332&amp;";Entity#"&amp;H332&amp;";Data Source#"&amp;K332&amp;";Account#"&amp;F332&amp;";Intercompany#"&amp;L332&amp;";Movement#"&amp;Q332&amp;";Consolidation#"&amp;T332&amp;";Custom1#"&amp;M332&amp;";Custom2#"&amp;N332&amp;";Custom3#"&amp;O332&amp;";Custom4#"&amp;P332&amp;"")</f>
        <v>#Invalid Syntax</v>
      </c>
      <c r="E332" s="216">
        <f>SUMIFS('Investment Analysis'!$H$22:$H$69,'Investment Analysis'!$E$22:$E$69,"Exchange Traded Funds-Debt",'Investment Analysis'!$AI$22:$AI$69,"15")</f>
        <v>0</v>
      </c>
      <c r="F332" s="217" t="s">
        <v>674</v>
      </c>
      <c r="G332" s="217" t="s">
        <v>1054</v>
      </c>
      <c r="H332" s="218" t="e">
        <f t="shared" si="124"/>
        <v>#N/A</v>
      </c>
      <c r="I332" s="218" t="str">
        <f t="shared" si="124"/>
        <v>Jun</v>
      </c>
      <c r="J332" s="217" t="str">
        <f t="shared" si="124"/>
        <v>FY25</v>
      </c>
      <c r="K332" s="217" t="str">
        <f t="shared" si="124"/>
        <v>FCCS_Other Data</v>
      </c>
      <c r="L332" s="217" t="str">
        <f t="shared" si="124"/>
        <v>FCCS_No Intercompany</v>
      </c>
      <c r="M332" s="217" t="str">
        <f t="shared" si="125"/>
        <v>No Custom1</v>
      </c>
      <c r="N332" s="217" t="str">
        <f t="shared" si="124"/>
        <v>No Custom2</v>
      </c>
      <c r="O332" s="217" t="s">
        <v>727</v>
      </c>
      <c r="P332" s="217" t="s">
        <v>570</v>
      </c>
      <c r="Q332" s="217" t="str">
        <f t="shared" si="126"/>
        <v>FCCS_ClosingBalance_Input</v>
      </c>
      <c r="R332" s="217" t="str">
        <f t="shared" si="127"/>
        <v>Actual</v>
      </c>
      <c r="S332" s="217" t="str">
        <f t="shared" si="127"/>
        <v>FCCS_YTD_Input</v>
      </c>
      <c r="T332" s="217" t="s">
        <v>850</v>
      </c>
    </row>
    <row r="333" spans="2:20" x14ac:dyDescent="0.3">
      <c r="B333" s="214" t="s">
        <v>667</v>
      </c>
      <c r="C333" s="215" t="s">
        <v>465</v>
      </c>
      <c r="D333" s="216" t="str">
        <f>[2]!HsSetValue(E333,"FCC","Scenario#"&amp;R333&amp;";Years#"&amp;J333&amp;";Period#"&amp;I333&amp;";View#"&amp;S333&amp;";Entity#"&amp;H333&amp;";Data Source#"&amp;K333&amp;";Account#"&amp;F333&amp;";Intercompany#"&amp;L333&amp;";Movement#"&amp;Q333&amp;";Consolidation#"&amp;T333&amp;";Custom1#"&amp;M333&amp;";Custom2#"&amp;N333&amp;";Custom3#"&amp;O333&amp;";Custom4#"&amp;P333&amp;"")</f>
        <v>#Invalid Syntax</v>
      </c>
      <c r="E333" s="216">
        <f>SUMIFS('Investment Analysis'!$H$22:$H$69,'Investment Analysis'!$E$22:$E$69,"Exchange Traded Funds-Debt",'Investment Analysis'!$AI$22:$AI$69,"14")</f>
        <v>0</v>
      </c>
      <c r="F333" s="217" t="s">
        <v>674</v>
      </c>
      <c r="G333" s="217" t="s">
        <v>1054</v>
      </c>
      <c r="H333" s="218" t="e">
        <f t="shared" si="124"/>
        <v>#N/A</v>
      </c>
      <c r="I333" s="218" t="str">
        <f t="shared" si="124"/>
        <v>Jun</v>
      </c>
      <c r="J333" s="217" t="str">
        <f t="shared" si="124"/>
        <v>FY25</v>
      </c>
      <c r="K333" s="217" t="str">
        <f t="shared" si="124"/>
        <v>FCCS_Other Data</v>
      </c>
      <c r="L333" s="217" t="str">
        <f t="shared" si="124"/>
        <v>FCCS_No Intercompany</v>
      </c>
      <c r="M333" s="217" t="str">
        <f t="shared" si="125"/>
        <v>No Custom1</v>
      </c>
      <c r="N333" s="217" t="str">
        <f t="shared" si="124"/>
        <v>No Custom2</v>
      </c>
      <c r="O333" s="217" t="s">
        <v>728</v>
      </c>
      <c r="P333" s="217" t="s">
        <v>570</v>
      </c>
      <c r="Q333" s="217" t="str">
        <f t="shared" si="126"/>
        <v>FCCS_ClosingBalance_Input</v>
      </c>
      <c r="R333" s="217" t="str">
        <f t="shared" si="127"/>
        <v>Actual</v>
      </c>
      <c r="S333" s="217" t="str">
        <f t="shared" si="127"/>
        <v>FCCS_YTD_Input</v>
      </c>
      <c r="T333" s="217" t="s">
        <v>850</v>
      </c>
    </row>
    <row r="334" spans="2:20" x14ac:dyDescent="0.3">
      <c r="B334" s="214" t="s">
        <v>667</v>
      </c>
      <c r="C334" s="215" t="s">
        <v>465</v>
      </c>
      <c r="D334" s="216" t="str">
        <f>[2]!HsSetValue(E334,"FCC","Scenario#"&amp;R334&amp;";Years#"&amp;J334&amp;";Period#"&amp;I334&amp;";View#"&amp;S334&amp;";Entity#"&amp;H334&amp;";Data Source#"&amp;K334&amp;";Account#"&amp;F334&amp;";Intercompany#"&amp;L334&amp;";Movement#"&amp;Q334&amp;";Consolidation#"&amp;T334&amp;";Custom1#"&amp;M334&amp;";Custom2#"&amp;N334&amp;";Custom3#"&amp;O334&amp;";Custom4#"&amp;P334&amp;"")</f>
        <v>#Invalid Syntax</v>
      </c>
      <c r="E334" s="216">
        <f>SUMIFS('Investment Analysis'!$H$22:$H$69,'Investment Analysis'!$E$22:$E$69,"Exchange Traded Funds-Debt",'Investment Analysis'!$AB$22:$AB$69,"0")+SUMIFS('Investment Analysis'!$H$22:$H$69,'Investment Analysis'!$E$22:$E$69,"Exchange Traded Funds-Debt",'Investment Analysis'!$AI$22:$AI$69,"0")</f>
        <v>0</v>
      </c>
      <c r="F334" s="217" t="s">
        <v>674</v>
      </c>
      <c r="G334" s="217" t="s">
        <v>1054</v>
      </c>
      <c r="H334" s="218" t="e">
        <f t="shared" si="124"/>
        <v>#N/A</v>
      </c>
      <c r="I334" s="218" t="str">
        <f t="shared" si="124"/>
        <v>Jun</v>
      </c>
      <c r="J334" s="217" t="str">
        <f t="shared" si="124"/>
        <v>FY25</v>
      </c>
      <c r="K334" s="217" t="str">
        <f t="shared" si="124"/>
        <v>FCCS_Other Data</v>
      </c>
      <c r="L334" s="217" t="str">
        <f t="shared" si="124"/>
        <v>FCCS_No Intercompany</v>
      </c>
      <c r="M334" s="217" t="str">
        <f t="shared" si="125"/>
        <v>No Custom1</v>
      </c>
      <c r="N334" s="217" t="str">
        <f t="shared" si="124"/>
        <v>No Custom2</v>
      </c>
      <c r="O334" s="217" t="s">
        <v>609</v>
      </c>
      <c r="P334" s="217" t="s">
        <v>570</v>
      </c>
      <c r="Q334" s="217" t="str">
        <f t="shared" si="126"/>
        <v>FCCS_ClosingBalance_Input</v>
      </c>
      <c r="R334" s="217" t="str">
        <f t="shared" si="127"/>
        <v>Actual</v>
      </c>
      <c r="S334" s="217" t="str">
        <f t="shared" si="127"/>
        <v>FCCS_YTD_Input</v>
      </c>
      <c r="T334" s="217" t="s">
        <v>850</v>
      </c>
    </row>
    <row r="335" spans="2:20" x14ac:dyDescent="0.3">
      <c r="B335" s="210"/>
      <c r="C335" s="211"/>
      <c r="D335" s="212"/>
      <c r="E335" s="212"/>
    </row>
    <row r="336" spans="2:20" x14ac:dyDescent="0.3">
      <c r="B336" s="219" t="s">
        <v>1014</v>
      </c>
      <c r="C336" s="220" t="s">
        <v>465</v>
      </c>
      <c r="D336" s="221" t="str">
        <f>[2]!HsSetValue(E336,"FCC","Scenario#"&amp;R336&amp;";Years#"&amp;J336&amp;";Period#"&amp;I336&amp;";View#"&amp;S336&amp;";Entity#"&amp;H336&amp;";Data Source#"&amp;K336&amp;";Account#"&amp;F336&amp;";Intercompany#"&amp;L336&amp;";Movement#"&amp;Q336&amp;";Consolidation#"&amp;T336&amp;";Custom1#"&amp;M336&amp;";Custom2#"&amp;N336&amp;";Custom3#"&amp;O336&amp;";Custom4#"&amp;P336&amp;"")</f>
        <v>#Invalid Syntax</v>
      </c>
      <c r="E336" s="221">
        <f>SUMIFS('Investment Analysis'!$H$22:$H$69,'Investment Analysis'!$E$22:$E$69,"Exchange Traded Funds-Debt",'Investment Analysis'!$AK$22:$AK$69,"21")</f>
        <v>0</v>
      </c>
      <c r="F336" s="222" t="s">
        <v>675</v>
      </c>
      <c r="G336" s="222" t="s">
        <v>1024</v>
      </c>
      <c r="H336" s="223" t="e">
        <f>+H$2</f>
        <v>#N/A</v>
      </c>
      <c r="I336" s="223" t="str">
        <f t="shared" ref="I336:I340" si="128">+I$2</f>
        <v>Jun</v>
      </c>
      <c r="J336" s="222" t="str">
        <f>+J$2</f>
        <v>FY25</v>
      </c>
      <c r="K336" s="222" t="s">
        <v>843</v>
      </c>
      <c r="L336" s="222" t="s">
        <v>844</v>
      </c>
      <c r="M336" s="222" t="s">
        <v>845</v>
      </c>
      <c r="N336" s="222" t="s">
        <v>846</v>
      </c>
      <c r="O336" s="222" t="s">
        <v>729</v>
      </c>
      <c r="P336" s="222" t="s">
        <v>570</v>
      </c>
      <c r="Q336" s="222" t="str">
        <f t="shared" ref="Q336:Q340" si="129">Q$2</f>
        <v>FCCS_ClosingBalance_Input</v>
      </c>
      <c r="R336" s="222" t="s">
        <v>169</v>
      </c>
      <c r="S336" s="222" t="s">
        <v>848</v>
      </c>
      <c r="T336" s="222" t="s">
        <v>850</v>
      </c>
    </row>
    <row r="337" spans="2:20" x14ac:dyDescent="0.3">
      <c r="B337" s="219" t="s">
        <v>1014</v>
      </c>
      <c r="C337" s="220" t="s">
        <v>465</v>
      </c>
      <c r="D337" s="221" t="str">
        <f>[2]!HsSetValue(E337,"FCC","Scenario#"&amp;R337&amp;";Years#"&amp;J337&amp;";Period#"&amp;I337&amp;";View#"&amp;S337&amp;";Entity#"&amp;H337&amp;";Data Source#"&amp;K337&amp;";Account#"&amp;F337&amp;";Intercompany#"&amp;L337&amp;";Movement#"&amp;Q337&amp;";Consolidation#"&amp;T337&amp;";Custom1#"&amp;M337&amp;";Custom2#"&amp;N337&amp;";Custom3#"&amp;O337&amp;";Custom4#"&amp;P337&amp;"")</f>
        <v>#Invalid Syntax</v>
      </c>
      <c r="E337" s="221">
        <f>SUMIFS('Investment Analysis'!$H$22:$H$69,'Investment Analysis'!$E$22:$E$69,"Exchange Traded Funds-Debt",'Investment Analysis'!$AK$22:$AK$69,"22")</f>
        <v>0</v>
      </c>
      <c r="F337" s="222" t="s">
        <v>675</v>
      </c>
      <c r="G337" s="222" t="s">
        <v>1024</v>
      </c>
      <c r="H337" s="223" t="e">
        <f>+H$2</f>
        <v>#N/A</v>
      </c>
      <c r="I337" s="223" t="str">
        <f t="shared" si="128"/>
        <v>Jun</v>
      </c>
      <c r="J337" s="222" t="str">
        <f>+J$2</f>
        <v>FY25</v>
      </c>
      <c r="K337" s="222" t="str">
        <f t="shared" ref="K337:N340" si="130">+K$2</f>
        <v>FCCS_Other Data</v>
      </c>
      <c r="L337" s="222" t="str">
        <f t="shared" si="130"/>
        <v>FCCS_No Intercompany</v>
      </c>
      <c r="M337" s="222" t="str">
        <f>+M$1</f>
        <v>No Custom1</v>
      </c>
      <c r="N337" s="222" t="str">
        <f t="shared" si="130"/>
        <v>No Custom2</v>
      </c>
      <c r="O337" s="222" t="s">
        <v>730</v>
      </c>
      <c r="P337" s="222" t="s">
        <v>570</v>
      </c>
      <c r="Q337" s="222" t="str">
        <f t="shared" si="129"/>
        <v>FCCS_ClosingBalance_Input</v>
      </c>
      <c r="R337" s="222" t="str">
        <f t="shared" ref="R337:S340" si="131">+R$2</f>
        <v>Actual</v>
      </c>
      <c r="S337" s="222" t="str">
        <f t="shared" si="131"/>
        <v>FCCS_YTD_Input</v>
      </c>
      <c r="T337" s="222" t="s">
        <v>850</v>
      </c>
    </row>
    <row r="338" spans="2:20" x14ac:dyDescent="0.3">
      <c r="B338" s="219" t="s">
        <v>1014</v>
      </c>
      <c r="C338" s="220" t="s">
        <v>465</v>
      </c>
      <c r="D338" s="221" t="str">
        <f>[2]!HsSetValue(E338,"FCC","Scenario#"&amp;R338&amp;";Years#"&amp;J338&amp;";Period#"&amp;I338&amp;";View#"&amp;S338&amp;";Entity#"&amp;H338&amp;";Data Source#"&amp;K338&amp;";Account#"&amp;F338&amp;";Intercompany#"&amp;L338&amp;";Movement#"&amp;Q338&amp;";Consolidation#"&amp;T338&amp;";Custom1#"&amp;M338&amp;";Custom2#"&amp;N338&amp;";Custom3#"&amp;O338&amp;";Custom4#"&amp;P338&amp;"")</f>
        <v>#Invalid Syntax</v>
      </c>
      <c r="E338" s="221">
        <f>SUMIFS('Investment Analysis'!$H$22:$H$69,'Investment Analysis'!$E$22:$E$69,"Exchange Traded Funds-Debt",'Investment Analysis'!$AK$22:$AK$69,"23")</f>
        <v>0</v>
      </c>
      <c r="F338" s="222" t="s">
        <v>675</v>
      </c>
      <c r="G338" s="222" t="s">
        <v>1024</v>
      </c>
      <c r="H338" s="223" t="e">
        <f>+H$2</f>
        <v>#N/A</v>
      </c>
      <c r="I338" s="223" t="str">
        <f t="shared" si="128"/>
        <v>Jun</v>
      </c>
      <c r="J338" s="222" t="str">
        <f>+J$2</f>
        <v>FY25</v>
      </c>
      <c r="K338" s="222" t="str">
        <f t="shared" si="130"/>
        <v>FCCS_Other Data</v>
      </c>
      <c r="L338" s="222" t="str">
        <f t="shared" si="130"/>
        <v>FCCS_No Intercompany</v>
      </c>
      <c r="M338" s="222" t="str">
        <f>+M$1</f>
        <v>No Custom1</v>
      </c>
      <c r="N338" s="222" t="str">
        <f t="shared" si="130"/>
        <v>No Custom2</v>
      </c>
      <c r="O338" s="222" t="s">
        <v>731</v>
      </c>
      <c r="P338" s="222" t="s">
        <v>570</v>
      </c>
      <c r="Q338" s="222" t="str">
        <f t="shared" si="129"/>
        <v>FCCS_ClosingBalance_Input</v>
      </c>
      <c r="R338" s="222" t="str">
        <f t="shared" si="131"/>
        <v>Actual</v>
      </c>
      <c r="S338" s="222" t="str">
        <f t="shared" si="131"/>
        <v>FCCS_YTD_Input</v>
      </c>
      <c r="T338" s="222" t="s">
        <v>850</v>
      </c>
    </row>
    <row r="339" spans="2:20" x14ac:dyDescent="0.3">
      <c r="B339" s="219" t="s">
        <v>1014</v>
      </c>
      <c r="C339" s="220" t="s">
        <v>465</v>
      </c>
      <c r="D339" s="221" t="str">
        <f>[2]!HsSetValue(E339,"FCC","Scenario#"&amp;R339&amp;";Years#"&amp;J339&amp;";Period#"&amp;I339&amp;";View#"&amp;S339&amp;";Entity#"&amp;H339&amp;";Data Source#"&amp;K339&amp;";Account#"&amp;F339&amp;";Intercompany#"&amp;L339&amp;";Movement#"&amp;Q339&amp;";Consolidation#"&amp;T339&amp;";Custom1#"&amp;M339&amp;";Custom2#"&amp;N339&amp;";Custom3#"&amp;O339&amp;";Custom4#"&amp;P339&amp;"")</f>
        <v>#Invalid Syntax</v>
      </c>
      <c r="E339" s="221">
        <f>SUMIFS('Investment Analysis'!$H$22:$H$69,'Investment Analysis'!$E$22:$E$69,"Exchange Traded Funds-Debt",'Investment Analysis'!$AK$22:$AK$69,"24")</f>
        <v>0</v>
      </c>
      <c r="F339" s="222" t="s">
        <v>675</v>
      </c>
      <c r="G339" s="222" t="s">
        <v>1024</v>
      </c>
      <c r="H339" s="223" t="e">
        <f>+H$2</f>
        <v>#N/A</v>
      </c>
      <c r="I339" s="223" t="str">
        <f t="shared" si="128"/>
        <v>Jun</v>
      </c>
      <c r="J339" s="222" t="str">
        <f>+J$2</f>
        <v>FY25</v>
      </c>
      <c r="K339" s="222" t="str">
        <f t="shared" si="130"/>
        <v>FCCS_Other Data</v>
      </c>
      <c r="L339" s="222" t="str">
        <f t="shared" si="130"/>
        <v>FCCS_No Intercompany</v>
      </c>
      <c r="M339" s="222" t="str">
        <f>+M$1</f>
        <v>No Custom1</v>
      </c>
      <c r="N339" s="222" t="str">
        <f t="shared" si="130"/>
        <v>No Custom2</v>
      </c>
      <c r="O339" s="222" t="s">
        <v>732</v>
      </c>
      <c r="P339" s="222" t="s">
        <v>570</v>
      </c>
      <c r="Q339" s="222" t="str">
        <f t="shared" si="129"/>
        <v>FCCS_ClosingBalance_Input</v>
      </c>
      <c r="R339" s="222" t="str">
        <f t="shared" si="131"/>
        <v>Actual</v>
      </c>
      <c r="S339" s="222" t="str">
        <f t="shared" si="131"/>
        <v>FCCS_YTD_Input</v>
      </c>
      <c r="T339" s="222" t="s">
        <v>850</v>
      </c>
    </row>
    <row r="340" spans="2:20" x14ac:dyDescent="0.3">
      <c r="B340" s="219" t="s">
        <v>1014</v>
      </c>
      <c r="C340" s="220" t="s">
        <v>465</v>
      </c>
      <c r="D340" s="221" t="str">
        <f>[2]!HsSetValue(E340,"FCC","Scenario#"&amp;R340&amp;";Years#"&amp;J340&amp;";Period#"&amp;I340&amp;";View#"&amp;S340&amp;";Entity#"&amp;H340&amp;";Data Source#"&amp;K340&amp;";Account#"&amp;F340&amp;";Intercompany#"&amp;L340&amp;";Movement#"&amp;Q340&amp;";Consolidation#"&amp;T340&amp;";Custom1#"&amp;M340&amp;";Custom2#"&amp;N340&amp;";Custom3#"&amp;O340&amp;";Custom4#"&amp;P340&amp;"")</f>
        <v>#Invalid Syntax</v>
      </c>
      <c r="E340" s="221">
        <f>SUMIFS('Investment Analysis'!$H$22:$H$69,'Investment Analysis'!$E$22:$E$69,"Exchange Traded Funds-Debt",'Investment Analysis'!$AK$22:$AK$69,"25")</f>
        <v>0</v>
      </c>
      <c r="F340" s="222" t="s">
        <v>675</v>
      </c>
      <c r="G340" s="222" t="s">
        <v>1024</v>
      </c>
      <c r="H340" s="223" t="e">
        <f>+H$2</f>
        <v>#N/A</v>
      </c>
      <c r="I340" s="223" t="str">
        <f t="shared" si="128"/>
        <v>Jun</v>
      </c>
      <c r="J340" s="222" t="str">
        <f>+J$2</f>
        <v>FY25</v>
      </c>
      <c r="K340" s="222" t="str">
        <f t="shared" si="130"/>
        <v>FCCS_Other Data</v>
      </c>
      <c r="L340" s="222" t="str">
        <f t="shared" si="130"/>
        <v>FCCS_No Intercompany</v>
      </c>
      <c r="M340" s="222" t="str">
        <f>+M$1</f>
        <v>No Custom1</v>
      </c>
      <c r="N340" s="222" t="str">
        <f t="shared" si="130"/>
        <v>No Custom2</v>
      </c>
      <c r="O340" s="222" t="s">
        <v>733</v>
      </c>
      <c r="P340" s="222" t="s">
        <v>570</v>
      </c>
      <c r="Q340" s="222" t="str">
        <f t="shared" si="129"/>
        <v>FCCS_ClosingBalance_Input</v>
      </c>
      <c r="R340" s="222" t="str">
        <f t="shared" si="131"/>
        <v>Actual</v>
      </c>
      <c r="S340" s="222" t="str">
        <f t="shared" si="131"/>
        <v>FCCS_YTD_Input</v>
      </c>
      <c r="T340" s="222" t="s">
        <v>850</v>
      </c>
    </row>
    <row r="341" spans="2:20" outlineLevel="1" x14ac:dyDescent="0.3">
      <c r="B341" s="210"/>
    </row>
    <row r="342" spans="2:20" x14ac:dyDescent="0.3">
      <c r="B342" s="364" t="s">
        <v>668</v>
      </c>
      <c r="C342" s="365" t="s">
        <v>466</v>
      </c>
      <c r="D342" s="366" t="str">
        <f>[2]!HsSetValue(E342,"FCC","Scenario#"&amp;R342&amp;";Years#"&amp;J342&amp;";Period#"&amp;I342&amp;";View#"&amp;S342&amp;";Entity#"&amp;H342&amp;";Data Source#"&amp;K342&amp;";Account#"&amp;F342&amp;";Intercompany#"&amp;L342&amp;";Movement#"&amp;Q342&amp;";Consolidation#"&amp;T342&amp;";Custom1#"&amp;M342&amp;";Custom2#"&amp;N342&amp;";Custom3#"&amp;O342&amp;";Custom4#"&amp;P342&amp;"")</f>
        <v>#Invalid Syntax</v>
      </c>
      <c r="E342" s="366">
        <f>SUMIF('Investment Analysis'!$E$22:$E$69,'FCC Investments - Load Tab'!C342,'Investment Analysis'!$K$22:$K$69)</f>
        <v>0</v>
      </c>
      <c r="F342" s="367" t="s">
        <v>673</v>
      </c>
      <c r="G342" s="367" t="s">
        <v>793</v>
      </c>
      <c r="H342" s="368" t="e">
        <f>+H$2</f>
        <v>#N/A</v>
      </c>
      <c r="I342" s="368" t="str">
        <f t="shared" ref="I342:J346" si="132">+I$2</f>
        <v>Jun</v>
      </c>
      <c r="J342" s="367" t="str">
        <f t="shared" si="132"/>
        <v>FY25</v>
      </c>
      <c r="K342" s="367" t="s">
        <v>843</v>
      </c>
      <c r="L342" s="367" t="s">
        <v>844</v>
      </c>
      <c r="M342" s="367" t="s">
        <v>845</v>
      </c>
      <c r="N342" s="367" t="s">
        <v>846</v>
      </c>
      <c r="O342" s="367" t="s">
        <v>721</v>
      </c>
      <c r="P342" s="367" t="s">
        <v>571</v>
      </c>
      <c r="Q342" s="367" t="str">
        <f t="shared" ref="Q342:Q346" si="133">Q$2</f>
        <v>FCCS_ClosingBalance_Input</v>
      </c>
      <c r="R342" s="367" t="s">
        <v>169</v>
      </c>
      <c r="S342" s="367" t="s">
        <v>848</v>
      </c>
      <c r="T342" s="367" t="s">
        <v>850</v>
      </c>
    </row>
    <row r="343" spans="2:20" x14ac:dyDescent="0.3">
      <c r="B343" s="364" t="s">
        <v>668</v>
      </c>
      <c r="C343" s="365" t="s">
        <v>466</v>
      </c>
      <c r="D343" s="366" t="str">
        <f>[2]!HsSetValue(E343,"FCC","Scenario#"&amp;R343&amp;";Years#"&amp;J343&amp;";Period#"&amp;I343&amp;";View#"&amp;S343&amp;";Entity#"&amp;H343&amp;";Data Source#"&amp;K343&amp;";Account#"&amp;F343&amp;";Intercompany#"&amp;L343&amp;";Movement#"&amp;Q343&amp;";Consolidation#"&amp;T343&amp;";Custom1#"&amp;M343&amp;";Custom2#"&amp;N343&amp;";Custom3#"&amp;O343&amp;";Custom4#"&amp;P343&amp;"")</f>
        <v>#Invalid Syntax</v>
      </c>
      <c r="E343" s="366">
        <f>SUMIF('Investment Analysis'!$E$22:$E$69,'FCC Investments - Load Tab'!C342,'Investment Analysis'!$L$22:$L$69)</f>
        <v>0</v>
      </c>
      <c r="F343" s="367" t="s">
        <v>673</v>
      </c>
      <c r="G343" s="367" t="s">
        <v>793</v>
      </c>
      <c r="H343" s="368" t="e">
        <f>+H$2</f>
        <v>#N/A</v>
      </c>
      <c r="I343" s="368" t="str">
        <f t="shared" si="132"/>
        <v>Jun</v>
      </c>
      <c r="J343" s="367" t="str">
        <f t="shared" si="132"/>
        <v>FY25</v>
      </c>
      <c r="K343" s="367" t="s">
        <v>843</v>
      </c>
      <c r="L343" s="367" t="s">
        <v>844</v>
      </c>
      <c r="M343" s="367" t="s">
        <v>845</v>
      </c>
      <c r="N343" s="367" t="s">
        <v>846</v>
      </c>
      <c r="O343" s="367" t="s">
        <v>722</v>
      </c>
      <c r="P343" s="367" t="s">
        <v>571</v>
      </c>
      <c r="Q343" s="367" t="str">
        <f t="shared" si="133"/>
        <v>FCCS_ClosingBalance_Input</v>
      </c>
      <c r="R343" s="367" t="s">
        <v>169</v>
      </c>
      <c r="S343" s="367" t="s">
        <v>848</v>
      </c>
      <c r="T343" s="367" t="s">
        <v>850</v>
      </c>
    </row>
    <row r="344" spans="2:20" x14ac:dyDescent="0.3">
      <c r="B344" s="364" t="s">
        <v>668</v>
      </c>
      <c r="C344" s="365" t="s">
        <v>466</v>
      </c>
      <c r="D344" s="366" t="str">
        <f>[2]!HsSetValue(E344,"FCC","Scenario#"&amp;R344&amp;";Years#"&amp;J344&amp;";Period#"&amp;I344&amp;";View#"&amp;S344&amp;";Entity#"&amp;H344&amp;";Data Source#"&amp;K344&amp;";Account#"&amp;F344&amp;";Intercompany#"&amp;L344&amp;";Movement#"&amp;Q344&amp;";Consolidation#"&amp;T344&amp;";Custom1#"&amp;M344&amp;";Custom2#"&amp;N344&amp;";Custom3#"&amp;O344&amp;";Custom4#"&amp;P344&amp;"")</f>
        <v>#Invalid Syntax</v>
      </c>
      <c r="E344" s="366">
        <f>SUMIF('Investment Analysis'!$E$22:$E$69,'FCC Investments - Load Tab'!C342,'Investment Analysis'!$M$22:$M$69)</f>
        <v>0</v>
      </c>
      <c r="F344" s="367" t="s">
        <v>673</v>
      </c>
      <c r="G344" s="367" t="s">
        <v>793</v>
      </c>
      <c r="H344" s="368" t="e">
        <f>+H$2</f>
        <v>#N/A</v>
      </c>
      <c r="I344" s="368" t="str">
        <f t="shared" si="132"/>
        <v>Jun</v>
      </c>
      <c r="J344" s="367" t="str">
        <f t="shared" si="132"/>
        <v>FY25</v>
      </c>
      <c r="K344" s="367" t="s">
        <v>843</v>
      </c>
      <c r="L344" s="367" t="s">
        <v>844</v>
      </c>
      <c r="M344" s="367" t="s">
        <v>845</v>
      </c>
      <c r="N344" s="367" t="s">
        <v>846</v>
      </c>
      <c r="O344" s="367" t="s">
        <v>723</v>
      </c>
      <c r="P344" s="367" t="s">
        <v>571</v>
      </c>
      <c r="Q344" s="367" t="str">
        <f t="shared" si="133"/>
        <v>FCCS_ClosingBalance_Input</v>
      </c>
      <c r="R344" s="367" t="s">
        <v>169</v>
      </c>
      <c r="S344" s="367" t="s">
        <v>848</v>
      </c>
      <c r="T344" s="367" t="s">
        <v>850</v>
      </c>
    </row>
    <row r="345" spans="2:20" x14ac:dyDescent="0.3">
      <c r="B345" s="364" t="s">
        <v>668</v>
      </c>
      <c r="C345" s="365" t="s">
        <v>466</v>
      </c>
      <c r="D345" s="366" t="str">
        <f>[2]!HsSetValue(E345,"FCC","Scenario#"&amp;R345&amp;";Years#"&amp;J345&amp;";Period#"&amp;I345&amp;";View#"&amp;S345&amp;";Entity#"&amp;H345&amp;";Data Source#"&amp;K345&amp;";Account#"&amp;F345&amp;";Intercompany#"&amp;L345&amp;";Movement#"&amp;Q345&amp;";Consolidation#"&amp;T345&amp;";Custom1#"&amp;M345&amp;";Custom2#"&amp;N345&amp;";Custom3#"&amp;O345&amp;";Custom4#"&amp;P345&amp;"")</f>
        <v>#Invalid Syntax</v>
      </c>
      <c r="E345" s="366">
        <f>SUMIF('Investment Analysis'!$E$22:$E$69,'FCC Investments - Load Tab'!C342,'Investment Analysis'!$N$22:$N$69)</f>
        <v>0</v>
      </c>
      <c r="F345" s="367" t="s">
        <v>673</v>
      </c>
      <c r="G345" s="367" t="s">
        <v>793</v>
      </c>
      <c r="H345" s="368" t="e">
        <f>+H$2</f>
        <v>#N/A</v>
      </c>
      <c r="I345" s="368" t="str">
        <f t="shared" si="132"/>
        <v>Jun</v>
      </c>
      <c r="J345" s="367" t="str">
        <f t="shared" si="132"/>
        <v>FY25</v>
      </c>
      <c r="K345" s="367" t="s">
        <v>843</v>
      </c>
      <c r="L345" s="367" t="s">
        <v>844</v>
      </c>
      <c r="M345" s="367" t="s">
        <v>845</v>
      </c>
      <c r="N345" s="367" t="s">
        <v>846</v>
      </c>
      <c r="O345" s="367" t="s">
        <v>724</v>
      </c>
      <c r="P345" s="367" t="s">
        <v>571</v>
      </c>
      <c r="Q345" s="367" t="str">
        <f t="shared" si="133"/>
        <v>FCCS_ClosingBalance_Input</v>
      </c>
      <c r="R345" s="367" t="s">
        <v>169</v>
      </c>
      <c r="S345" s="367" t="s">
        <v>848</v>
      </c>
      <c r="T345" s="367" t="s">
        <v>850</v>
      </c>
    </row>
    <row r="346" spans="2:20" x14ac:dyDescent="0.3">
      <c r="B346" s="364" t="s">
        <v>668</v>
      </c>
      <c r="C346" s="365" t="s">
        <v>466</v>
      </c>
      <c r="D346" s="366" t="str">
        <f>[2]!HsSetValue(E346,"FCC","Scenario#"&amp;R346&amp;";Years#"&amp;J346&amp;";Period#"&amp;I346&amp;";View#"&amp;S346&amp;";Entity#"&amp;H346&amp;";Data Source#"&amp;K346&amp;";Account#"&amp;F346&amp;";Intercompany#"&amp;L346&amp;";Movement#"&amp;Q346&amp;";Consolidation#"&amp;T346&amp;";Custom1#"&amp;M346&amp;";Custom2#"&amp;N346&amp;";Custom3#"&amp;O346&amp;";Custom4#"&amp;P346&amp;"")</f>
        <v>#Invalid Syntax</v>
      </c>
      <c r="E346" s="366">
        <f>SUMIF('Investment Analysis'!$E$2:$E$69,'FCC Investments - Load Tab'!C342,'Investment Analysis'!$O$2:$O$69)</f>
        <v>0</v>
      </c>
      <c r="F346" s="367" t="s">
        <v>673</v>
      </c>
      <c r="G346" s="367" t="s">
        <v>793</v>
      </c>
      <c r="H346" s="368" t="e">
        <f>+H$2</f>
        <v>#N/A</v>
      </c>
      <c r="I346" s="368" t="str">
        <f t="shared" si="132"/>
        <v>Jun</v>
      </c>
      <c r="J346" s="367" t="str">
        <f t="shared" si="132"/>
        <v>FY25</v>
      </c>
      <c r="K346" s="367" t="s">
        <v>843</v>
      </c>
      <c r="L346" s="367" t="s">
        <v>844</v>
      </c>
      <c r="M346" s="367" t="s">
        <v>845</v>
      </c>
      <c r="N346" s="367" t="s">
        <v>846</v>
      </c>
      <c r="O346" s="367" t="s">
        <v>725</v>
      </c>
      <c r="P346" s="367" t="s">
        <v>571</v>
      </c>
      <c r="Q346" s="367" t="str">
        <f t="shared" si="133"/>
        <v>FCCS_ClosingBalance_Input</v>
      </c>
      <c r="R346" s="367" t="s">
        <v>169</v>
      </c>
      <c r="S346" s="367" t="s">
        <v>848</v>
      </c>
      <c r="T346" s="367" t="s">
        <v>850</v>
      </c>
    </row>
    <row r="347" spans="2:20" outlineLevel="1" x14ac:dyDescent="0.3">
      <c r="B347" s="210"/>
    </row>
    <row r="348" spans="2:20" x14ac:dyDescent="0.3">
      <c r="B348" s="214" t="s">
        <v>667</v>
      </c>
      <c r="C348" s="215" t="s">
        <v>466</v>
      </c>
      <c r="D348" s="216" t="str">
        <f>[2]!HsSetValue(E348,"FCC","Scenario#"&amp;R348&amp;";Years#"&amp;J348&amp;";Period#"&amp;I348&amp;";View#"&amp;S348&amp;";Entity#"&amp;H348&amp;";Data Source#"&amp;K348&amp;";Account#"&amp;F348&amp;";Intercompany#"&amp;L348&amp;";Movement#"&amp;Q348&amp;";Consolidation#"&amp;T348&amp;";Custom1#"&amp;M348&amp;";Custom2#"&amp;N348&amp;";Custom3#"&amp;O348&amp;";Custom4#"&amp;P348&amp;"")</f>
        <v>#Invalid Syntax</v>
      </c>
      <c r="E348" s="216">
        <f>SUMIFS('Investment Analysis'!$H$22:$H$69,'Investment Analysis'!$E$22:$E$69,"Exchange Traded Funds-Equity",'Investment Analysis'!$AB$22:$AB$69,"10")</f>
        <v>0</v>
      </c>
      <c r="F348" s="217" t="s">
        <v>674</v>
      </c>
      <c r="G348" s="217" t="s">
        <v>1055</v>
      </c>
      <c r="H348" s="218" t="e">
        <f t="shared" ref="H348:N361" si="134">+H$2</f>
        <v>#N/A</v>
      </c>
      <c r="I348" s="218" t="str">
        <f t="shared" si="134"/>
        <v>Jun</v>
      </c>
      <c r="J348" s="217" t="str">
        <f t="shared" si="134"/>
        <v>FY25</v>
      </c>
      <c r="K348" s="217" t="s">
        <v>843</v>
      </c>
      <c r="L348" s="217" t="s">
        <v>844</v>
      </c>
      <c r="M348" s="217" t="s">
        <v>845</v>
      </c>
      <c r="N348" s="217" t="s">
        <v>846</v>
      </c>
      <c r="O348" s="217" t="s">
        <v>433</v>
      </c>
      <c r="P348" s="217" t="s">
        <v>571</v>
      </c>
      <c r="Q348" s="217" t="str">
        <f t="shared" ref="Q348:Q361" si="135">Q$2</f>
        <v>FCCS_ClosingBalance_Input</v>
      </c>
      <c r="R348" s="217" t="s">
        <v>169</v>
      </c>
      <c r="S348" s="217" t="s">
        <v>848</v>
      </c>
      <c r="T348" s="217" t="s">
        <v>850</v>
      </c>
    </row>
    <row r="349" spans="2:20" x14ac:dyDescent="0.3">
      <c r="B349" s="214" t="s">
        <v>667</v>
      </c>
      <c r="C349" s="215" t="s">
        <v>466</v>
      </c>
      <c r="D349" s="216" t="str">
        <f>[2]!HsSetValue(E349,"FCC","Scenario#"&amp;R349&amp;";Years#"&amp;J349&amp;";Period#"&amp;I349&amp;";View#"&amp;S349&amp;";Entity#"&amp;H349&amp;";Data Source#"&amp;K349&amp;";Account#"&amp;F349&amp;";Intercompany#"&amp;L349&amp;";Movement#"&amp;Q349&amp;";Consolidation#"&amp;T349&amp;";Custom1#"&amp;M349&amp;";Custom2#"&amp;N349&amp;";Custom3#"&amp;O349&amp;";Custom4#"&amp;P349&amp;"")</f>
        <v>#Invalid Syntax</v>
      </c>
      <c r="E349" s="216">
        <f>SUMIFS('Investment Analysis'!$H$22:$H$69,'Investment Analysis'!$E$22:$E$69,"Exchange Traded Funds-Equity",'Investment Analysis'!$AB$22:$AB$69,"9")</f>
        <v>0</v>
      </c>
      <c r="F349" s="217" t="s">
        <v>674</v>
      </c>
      <c r="G349" s="217" t="s">
        <v>1055</v>
      </c>
      <c r="H349" s="218" t="e">
        <f t="shared" si="134"/>
        <v>#N/A</v>
      </c>
      <c r="I349" s="218" t="str">
        <f t="shared" si="134"/>
        <v>Jun</v>
      </c>
      <c r="J349" s="217" t="str">
        <f t="shared" si="134"/>
        <v>FY25</v>
      </c>
      <c r="K349" s="217" t="s">
        <v>843</v>
      </c>
      <c r="L349" s="217" t="s">
        <v>844</v>
      </c>
      <c r="M349" s="217" t="s">
        <v>845</v>
      </c>
      <c r="N349" s="217" t="s">
        <v>846</v>
      </c>
      <c r="O349" s="217" t="s">
        <v>596</v>
      </c>
      <c r="P349" s="217" t="s">
        <v>571</v>
      </c>
      <c r="Q349" s="217" t="str">
        <f t="shared" si="135"/>
        <v>FCCS_ClosingBalance_Input</v>
      </c>
      <c r="R349" s="217" t="s">
        <v>169</v>
      </c>
      <c r="S349" s="217" t="s">
        <v>848</v>
      </c>
      <c r="T349" s="217" t="s">
        <v>850</v>
      </c>
    </row>
    <row r="350" spans="2:20" x14ac:dyDescent="0.3">
      <c r="B350" s="214" t="s">
        <v>667</v>
      </c>
      <c r="C350" s="215" t="s">
        <v>466</v>
      </c>
      <c r="D350" s="216" t="str">
        <f>[2]!HsSetValue(E350,"FCC","Scenario#"&amp;R350&amp;";Years#"&amp;J350&amp;";Period#"&amp;I350&amp;";View#"&amp;S350&amp;";Entity#"&amp;H350&amp;";Data Source#"&amp;K350&amp;";Account#"&amp;F350&amp;";Intercompany#"&amp;L350&amp;";Movement#"&amp;Q350&amp;";Consolidation#"&amp;T350&amp;";Custom1#"&amp;M350&amp;";Custom2#"&amp;N350&amp;";Custom3#"&amp;O350&amp;";Custom4#"&amp;P350&amp;"")</f>
        <v>#Invalid Syntax</v>
      </c>
      <c r="E350" s="216">
        <f>SUMIFS('Investment Analysis'!$H$22:$H$69,'Investment Analysis'!$E$22:$E$69,"Exchange Traded Funds-Equity",'Investment Analysis'!$AB$22:$AB$69,"8")</f>
        <v>0</v>
      </c>
      <c r="F350" s="217" t="s">
        <v>674</v>
      </c>
      <c r="G350" s="217" t="s">
        <v>1055</v>
      </c>
      <c r="H350" s="218" t="e">
        <f t="shared" si="134"/>
        <v>#N/A</v>
      </c>
      <c r="I350" s="218" t="str">
        <f t="shared" si="134"/>
        <v>Jun</v>
      </c>
      <c r="J350" s="217" t="str">
        <f t="shared" si="134"/>
        <v>FY25</v>
      </c>
      <c r="K350" s="217" t="s">
        <v>843</v>
      </c>
      <c r="L350" s="217" t="s">
        <v>844</v>
      </c>
      <c r="M350" s="217" t="s">
        <v>845</v>
      </c>
      <c r="N350" s="217" t="s">
        <v>846</v>
      </c>
      <c r="O350" s="217" t="s">
        <v>61</v>
      </c>
      <c r="P350" s="217" t="s">
        <v>571</v>
      </c>
      <c r="Q350" s="217" t="str">
        <f t="shared" si="135"/>
        <v>FCCS_ClosingBalance_Input</v>
      </c>
      <c r="R350" s="217" t="s">
        <v>169</v>
      </c>
      <c r="S350" s="217" t="s">
        <v>848</v>
      </c>
      <c r="T350" s="217" t="s">
        <v>850</v>
      </c>
    </row>
    <row r="351" spans="2:20" x14ac:dyDescent="0.3">
      <c r="B351" s="214" t="s">
        <v>667</v>
      </c>
      <c r="C351" s="215" t="s">
        <v>466</v>
      </c>
      <c r="D351" s="216" t="str">
        <f>[2]!HsSetValue(E351,"FCC","Scenario#"&amp;R351&amp;";Years#"&amp;J351&amp;";Period#"&amp;I351&amp;";View#"&amp;S351&amp;";Entity#"&amp;H351&amp;";Data Source#"&amp;K351&amp;";Account#"&amp;F351&amp;";Intercompany#"&amp;L351&amp;";Movement#"&amp;Q351&amp;";Consolidation#"&amp;T351&amp;";Custom1#"&amp;M351&amp;";Custom2#"&amp;N351&amp;";Custom3#"&amp;O351&amp;";Custom4#"&amp;P351&amp;"")</f>
        <v>#Invalid Syntax</v>
      </c>
      <c r="E351" s="216">
        <f>SUMIFS('Investment Analysis'!$H$22:$H$69,'Investment Analysis'!$E$22:$E$69,"Exchange Traded Funds-Equity",'Investment Analysis'!$AB$22:$AB$69,"7")</f>
        <v>0</v>
      </c>
      <c r="F351" s="217" t="s">
        <v>674</v>
      </c>
      <c r="G351" s="217" t="s">
        <v>1055</v>
      </c>
      <c r="H351" s="218" t="e">
        <f t="shared" si="134"/>
        <v>#N/A</v>
      </c>
      <c r="I351" s="218" t="str">
        <f t="shared" si="134"/>
        <v>Jun</v>
      </c>
      <c r="J351" s="217" t="str">
        <f t="shared" si="134"/>
        <v>FY25</v>
      </c>
      <c r="K351" s="217" t="s">
        <v>843</v>
      </c>
      <c r="L351" s="217" t="s">
        <v>844</v>
      </c>
      <c r="M351" s="217" t="s">
        <v>845</v>
      </c>
      <c r="N351" s="217" t="s">
        <v>846</v>
      </c>
      <c r="O351" s="217" t="s">
        <v>62</v>
      </c>
      <c r="P351" s="217" t="s">
        <v>571</v>
      </c>
      <c r="Q351" s="217" t="str">
        <f t="shared" si="135"/>
        <v>FCCS_ClosingBalance_Input</v>
      </c>
      <c r="R351" s="217" t="s">
        <v>169</v>
      </c>
      <c r="S351" s="217" t="s">
        <v>848</v>
      </c>
      <c r="T351" s="217" t="s">
        <v>850</v>
      </c>
    </row>
    <row r="352" spans="2:20" x14ac:dyDescent="0.3">
      <c r="B352" s="214" t="s">
        <v>667</v>
      </c>
      <c r="C352" s="215" t="s">
        <v>466</v>
      </c>
      <c r="D352" s="216" t="str">
        <f>[2]!HsSetValue(E352,"FCC","Scenario#"&amp;R352&amp;";Years#"&amp;J352&amp;";Period#"&amp;I352&amp;";View#"&amp;S352&amp;";Entity#"&amp;H352&amp;";Data Source#"&amp;K352&amp;";Account#"&amp;F352&amp;";Intercompany#"&amp;L352&amp;";Movement#"&amp;Q352&amp;";Consolidation#"&amp;T352&amp;";Custom1#"&amp;M352&amp;";Custom2#"&amp;N352&amp;";Custom3#"&amp;O352&amp;";Custom4#"&amp;P352&amp;"")</f>
        <v>#Invalid Syntax</v>
      </c>
      <c r="E352" s="216">
        <f>SUMIFS('Investment Analysis'!$H$22:$H$69,'Investment Analysis'!$E$22:$E$69,"Exchange Traded Funds-Equity",'Investment Analysis'!$AB$22:$AB$69,"6")</f>
        <v>0</v>
      </c>
      <c r="F352" s="217" t="s">
        <v>674</v>
      </c>
      <c r="G352" s="217" t="s">
        <v>1055</v>
      </c>
      <c r="H352" s="218" t="e">
        <f t="shared" si="134"/>
        <v>#N/A</v>
      </c>
      <c r="I352" s="218" t="str">
        <f t="shared" si="134"/>
        <v>Jun</v>
      </c>
      <c r="J352" s="217" t="str">
        <f t="shared" si="134"/>
        <v>FY25</v>
      </c>
      <c r="K352" s="217" t="s">
        <v>843</v>
      </c>
      <c r="L352" s="217" t="s">
        <v>844</v>
      </c>
      <c r="M352" s="217" t="s">
        <v>845</v>
      </c>
      <c r="N352" s="217" t="s">
        <v>846</v>
      </c>
      <c r="O352" s="217" t="s">
        <v>436</v>
      </c>
      <c r="P352" s="217" t="s">
        <v>571</v>
      </c>
      <c r="Q352" s="217" t="str">
        <f t="shared" si="135"/>
        <v>FCCS_ClosingBalance_Input</v>
      </c>
      <c r="R352" s="217" t="s">
        <v>169</v>
      </c>
      <c r="S352" s="217" t="s">
        <v>848</v>
      </c>
      <c r="T352" s="217" t="s">
        <v>850</v>
      </c>
    </row>
    <row r="353" spans="2:20" s="371" customFormat="1" x14ac:dyDescent="0.3">
      <c r="B353" s="214" t="s">
        <v>667</v>
      </c>
      <c r="C353" s="215" t="s">
        <v>466</v>
      </c>
      <c r="D353" s="216" t="str">
        <f>[2]!HsSetValue(E353,"FCC","Scenario#"&amp;R353&amp;";Years#"&amp;J353&amp;";Period#"&amp;I353&amp;";View#"&amp;S353&amp;";Entity#"&amp;H353&amp;";Data Source#"&amp;K353&amp;";Account#"&amp;F353&amp;";Intercompany#"&amp;L353&amp;";Movement#"&amp;Q353&amp;";Consolidation#"&amp;T353&amp;";Custom1#"&amp;M353&amp;";Custom2#"&amp;N353&amp;";Custom3#"&amp;O353&amp;";Custom4#"&amp;P353&amp;"")</f>
        <v>#Invalid Syntax</v>
      </c>
      <c r="E353" s="216">
        <f>SUMIFS('Investment Analysis'!$H$22:$H$69,'Investment Analysis'!$E$22:$E$69,"Exchange Traded Funds-Equity",'Investment Analysis'!$AB$22:$AB$69,"5")</f>
        <v>0</v>
      </c>
      <c r="F353" s="217" t="s">
        <v>674</v>
      </c>
      <c r="G353" s="217" t="s">
        <v>1055</v>
      </c>
      <c r="H353" s="218" t="e">
        <f t="shared" si="134"/>
        <v>#N/A</v>
      </c>
      <c r="I353" s="218" t="str">
        <f t="shared" si="134"/>
        <v>Jun</v>
      </c>
      <c r="J353" s="217" t="str">
        <f t="shared" si="134"/>
        <v>FY25</v>
      </c>
      <c r="K353" s="217" t="str">
        <f t="shared" si="134"/>
        <v>FCCS_Other Data</v>
      </c>
      <c r="L353" s="217" t="str">
        <f t="shared" si="134"/>
        <v>FCCS_No Intercompany</v>
      </c>
      <c r="M353" s="217" t="str">
        <f>+M$1</f>
        <v>No Custom1</v>
      </c>
      <c r="N353" s="217" t="str">
        <f t="shared" si="134"/>
        <v>No Custom2</v>
      </c>
      <c r="O353" s="217" t="s">
        <v>434</v>
      </c>
      <c r="P353" s="217" t="s">
        <v>571</v>
      </c>
      <c r="Q353" s="217" t="str">
        <f t="shared" si="135"/>
        <v>FCCS_ClosingBalance_Input</v>
      </c>
      <c r="R353" s="217" t="str">
        <f t="shared" ref="R353:S357" si="136">+R$2</f>
        <v>Actual</v>
      </c>
      <c r="S353" s="217" t="str">
        <f t="shared" si="136"/>
        <v>FCCS_YTD_Input</v>
      </c>
      <c r="T353" s="217" t="s">
        <v>850</v>
      </c>
    </row>
    <row r="354" spans="2:20" s="371" customFormat="1" x14ac:dyDescent="0.3">
      <c r="B354" s="214" t="s">
        <v>667</v>
      </c>
      <c r="C354" s="215" t="s">
        <v>466</v>
      </c>
      <c r="D354" s="216" t="str">
        <f>[2]!HsSetValue(E354,"FCC","Scenario#"&amp;R354&amp;";Years#"&amp;J354&amp;";Period#"&amp;I354&amp;";View#"&amp;S354&amp;";Entity#"&amp;H354&amp;";Data Source#"&amp;K354&amp;";Account#"&amp;F354&amp;";Intercompany#"&amp;L354&amp;";Movement#"&amp;Q354&amp;";Consolidation#"&amp;T354&amp;";Custom1#"&amp;M354&amp;";Custom2#"&amp;N354&amp;";Custom3#"&amp;O354&amp;";Custom4#"&amp;P354&amp;"")</f>
        <v>#Invalid Syntax</v>
      </c>
      <c r="E354" s="216">
        <f>SUMIFS('Investment Analysis'!$H$22:$H$69,'Investment Analysis'!$E$22:$E$69,"Exchange Traded Funds-Equity",'Investment Analysis'!$AB$22:$AB$69,"4")</f>
        <v>0</v>
      </c>
      <c r="F354" s="217" t="s">
        <v>674</v>
      </c>
      <c r="G354" s="217" t="s">
        <v>1055</v>
      </c>
      <c r="H354" s="218" t="e">
        <f t="shared" si="134"/>
        <v>#N/A</v>
      </c>
      <c r="I354" s="218" t="str">
        <f t="shared" si="134"/>
        <v>Jun</v>
      </c>
      <c r="J354" s="217" t="str">
        <f t="shared" si="134"/>
        <v>FY25</v>
      </c>
      <c r="K354" s="217" t="str">
        <f t="shared" si="134"/>
        <v>FCCS_Other Data</v>
      </c>
      <c r="L354" s="217" t="str">
        <f t="shared" si="134"/>
        <v>FCCS_No Intercompany</v>
      </c>
      <c r="M354" s="217" t="str">
        <f>+M$1</f>
        <v>No Custom1</v>
      </c>
      <c r="N354" s="217" t="str">
        <f t="shared" si="134"/>
        <v>No Custom2</v>
      </c>
      <c r="O354" s="217" t="s">
        <v>63</v>
      </c>
      <c r="P354" s="217" t="s">
        <v>571</v>
      </c>
      <c r="Q354" s="217" t="str">
        <f t="shared" si="135"/>
        <v>FCCS_ClosingBalance_Input</v>
      </c>
      <c r="R354" s="217" t="str">
        <f t="shared" si="136"/>
        <v>Actual</v>
      </c>
      <c r="S354" s="217" t="str">
        <f t="shared" si="136"/>
        <v>FCCS_YTD_Input</v>
      </c>
      <c r="T354" s="217" t="s">
        <v>850</v>
      </c>
    </row>
    <row r="355" spans="2:20" s="371" customFormat="1" x14ac:dyDescent="0.3">
      <c r="B355" s="214" t="s">
        <v>667</v>
      </c>
      <c r="C355" s="215" t="s">
        <v>466</v>
      </c>
      <c r="D355" s="216" t="str">
        <f>[2]!HsSetValue(E355,"FCC","Scenario#"&amp;R355&amp;";Years#"&amp;J355&amp;";Period#"&amp;I355&amp;";View#"&amp;S355&amp;";Entity#"&amp;H355&amp;";Data Source#"&amp;K355&amp;";Account#"&amp;F355&amp;";Intercompany#"&amp;L355&amp;";Movement#"&amp;Q355&amp;";Consolidation#"&amp;T355&amp;";Custom1#"&amp;M355&amp;";Custom2#"&amp;N355&amp;";Custom3#"&amp;O355&amp;";Custom4#"&amp;P355&amp;"")</f>
        <v>#Invalid Syntax</v>
      </c>
      <c r="E355" s="216">
        <f>SUMIFS('Investment Analysis'!$H$22:$H$69,'Investment Analysis'!$E$22:$E$69,"Exchange Traded Funds-Equity",'Investment Analysis'!$AB$22:$AB$69,"3")</f>
        <v>0</v>
      </c>
      <c r="F355" s="217" t="s">
        <v>674</v>
      </c>
      <c r="G355" s="217" t="s">
        <v>1055</v>
      </c>
      <c r="H355" s="218" t="e">
        <f t="shared" si="134"/>
        <v>#N/A</v>
      </c>
      <c r="I355" s="218" t="str">
        <f t="shared" si="134"/>
        <v>Jun</v>
      </c>
      <c r="J355" s="217" t="str">
        <f t="shared" si="134"/>
        <v>FY25</v>
      </c>
      <c r="K355" s="217" t="str">
        <f t="shared" si="134"/>
        <v>FCCS_Other Data</v>
      </c>
      <c r="L355" s="217" t="str">
        <f t="shared" si="134"/>
        <v>FCCS_No Intercompany</v>
      </c>
      <c r="M355" s="217" t="str">
        <f>+M$1</f>
        <v>No Custom1</v>
      </c>
      <c r="N355" s="217" t="str">
        <f t="shared" si="134"/>
        <v>No Custom2</v>
      </c>
      <c r="O355" s="217" t="s">
        <v>622</v>
      </c>
      <c r="P355" s="217" t="s">
        <v>571</v>
      </c>
      <c r="Q355" s="217" t="str">
        <f t="shared" si="135"/>
        <v>FCCS_ClosingBalance_Input</v>
      </c>
      <c r="R355" s="217" t="str">
        <f t="shared" si="136"/>
        <v>Actual</v>
      </c>
      <c r="S355" s="217" t="str">
        <f t="shared" si="136"/>
        <v>FCCS_YTD_Input</v>
      </c>
      <c r="T355" s="217" t="s">
        <v>850</v>
      </c>
    </row>
    <row r="356" spans="2:20" s="371" customFormat="1" x14ac:dyDescent="0.3">
      <c r="B356" s="214" t="s">
        <v>667</v>
      </c>
      <c r="C356" s="215" t="s">
        <v>466</v>
      </c>
      <c r="D356" s="216" t="str">
        <f>[2]!HsSetValue(E356,"FCC","Scenario#"&amp;R356&amp;";Years#"&amp;J356&amp;";Period#"&amp;I356&amp;";View#"&amp;S356&amp;";Entity#"&amp;H356&amp;";Data Source#"&amp;K356&amp;";Account#"&amp;F356&amp;";Intercompany#"&amp;L356&amp;";Movement#"&amp;Q356&amp;";Consolidation#"&amp;T356&amp;";Custom1#"&amp;M356&amp;";Custom2#"&amp;N356&amp;";Custom3#"&amp;O356&amp;";Custom4#"&amp;P356&amp;"")</f>
        <v>#Invalid Syntax</v>
      </c>
      <c r="E356" s="216">
        <f>SUMIFS('Investment Analysis'!$H$22:$H$69,'Investment Analysis'!$E$22:$E$69,"Exchange Traded Funds-Equity",'Investment Analysis'!$AB$22:$AB$69,"2")</f>
        <v>0</v>
      </c>
      <c r="F356" s="217" t="s">
        <v>674</v>
      </c>
      <c r="G356" s="217" t="s">
        <v>1055</v>
      </c>
      <c r="H356" s="218" t="e">
        <f t="shared" si="134"/>
        <v>#N/A</v>
      </c>
      <c r="I356" s="218" t="str">
        <f t="shared" si="134"/>
        <v>Jun</v>
      </c>
      <c r="J356" s="217" t="str">
        <f t="shared" si="134"/>
        <v>FY25</v>
      </c>
      <c r="K356" s="217" t="str">
        <f t="shared" si="134"/>
        <v>FCCS_Other Data</v>
      </c>
      <c r="L356" s="217" t="str">
        <f t="shared" si="134"/>
        <v>FCCS_No Intercompany</v>
      </c>
      <c r="M356" s="217" t="str">
        <f>+M$1</f>
        <v>No Custom1</v>
      </c>
      <c r="N356" s="217" t="str">
        <f t="shared" si="134"/>
        <v>No Custom2</v>
      </c>
      <c r="O356" s="217" t="s">
        <v>618</v>
      </c>
      <c r="P356" s="217" t="s">
        <v>571</v>
      </c>
      <c r="Q356" s="217" t="str">
        <f t="shared" si="135"/>
        <v>FCCS_ClosingBalance_Input</v>
      </c>
      <c r="R356" s="217" t="str">
        <f t="shared" si="136"/>
        <v>Actual</v>
      </c>
      <c r="S356" s="217" t="str">
        <f t="shared" si="136"/>
        <v>FCCS_YTD_Input</v>
      </c>
      <c r="T356" s="217" t="s">
        <v>850</v>
      </c>
    </row>
    <row r="357" spans="2:20" s="371" customFormat="1" x14ac:dyDescent="0.3">
      <c r="B357" s="214" t="s">
        <v>667</v>
      </c>
      <c r="C357" s="215" t="s">
        <v>466</v>
      </c>
      <c r="D357" s="216" t="str">
        <f>[2]!HsSetValue(E357,"FCC","Scenario#"&amp;R357&amp;";Years#"&amp;J357&amp;";Period#"&amp;I357&amp;";View#"&amp;S357&amp;";Entity#"&amp;H357&amp;";Data Source#"&amp;K357&amp;";Account#"&amp;F357&amp;";Intercompany#"&amp;L357&amp;";Movement#"&amp;Q357&amp;";Consolidation#"&amp;T357&amp;";Custom1#"&amp;M357&amp;";Custom2#"&amp;N357&amp;";Custom3#"&amp;O357&amp;";Custom4#"&amp;P357&amp;"")</f>
        <v>#Invalid Syntax</v>
      </c>
      <c r="E357" s="216">
        <f>SUMIFS('Investment Analysis'!$H$22:$H$69,'Investment Analysis'!$E$22:$E$69,"Exchange Traded Funds-Equity",'Investment Analysis'!$AB$22:$AB$69,"1")</f>
        <v>0</v>
      </c>
      <c r="F357" s="217" t="s">
        <v>674</v>
      </c>
      <c r="G357" s="217" t="s">
        <v>1055</v>
      </c>
      <c r="H357" s="218" t="e">
        <f t="shared" si="134"/>
        <v>#N/A</v>
      </c>
      <c r="I357" s="218" t="str">
        <f t="shared" si="134"/>
        <v>Jun</v>
      </c>
      <c r="J357" s="217" t="str">
        <f t="shared" si="134"/>
        <v>FY25</v>
      </c>
      <c r="K357" s="217" t="str">
        <f t="shared" si="134"/>
        <v>FCCS_Other Data</v>
      </c>
      <c r="L357" s="217" t="str">
        <f t="shared" si="134"/>
        <v>FCCS_No Intercompany</v>
      </c>
      <c r="M357" s="217" t="str">
        <f>+M$1</f>
        <v>No Custom1</v>
      </c>
      <c r="N357" s="217" t="str">
        <f t="shared" si="134"/>
        <v>No Custom2</v>
      </c>
      <c r="O357" s="217" t="s">
        <v>64</v>
      </c>
      <c r="P357" s="217" t="s">
        <v>571</v>
      </c>
      <c r="Q357" s="217" t="str">
        <f t="shared" si="135"/>
        <v>FCCS_ClosingBalance_Input</v>
      </c>
      <c r="R357" s="217" t="str">
        <f t="shared" si="136"/>
        <v>Actual</v>
      </c>
      <c r="S357" s="217" t="str">
        <f t="shared" si="136"/>
        <v>FCCS_YTD_Input</v>
      </c>
      <c r="T357" s="217" t="s">
        <v>850</v>
      </c>
    </row>
    <row r="358" spans="2:20" x14ac:dyDescent="0.3">
      <c r="B358" s="214" t="s">
        <v>667</v>
      </c>
      <c r="C358" s="215" t="s">
        <v>466</v>
      </c>
      <c r="D358" s="216" t="str">
        <f>[2]!HsSetValue(E358,"FCC","Scenario#"&amp;R358&amp;";Years#"&amp;J358&amp;";Period#"&amp;I358&amp;";View#"&amp;S358&amp;";Entity#"&amp;H358&amp;";Data Source#"&amp;K358&amp;";Account#"&amp;F358&amp;";Intercompany#"&amp;L358&amp;";Movement#"&amp;Q358&amp;";Consolidation#"&amp;T358&amp;";Custom1#"&amp;M358&amp;";Custom2#"&amp;N358&amp;";Custom3#"&amp;O358&amp;";Custom4#"&amp;P358&amp;"")</f>
        <v>#Invalid Syntax</v>
      </c>
      <c r="E358" s="216">
        <f>SUMIFS('Investment Analysis'!$H$22:$H$69,'Investment Analysis'!$E$22:$E$69,"Exchange Traded Funds-Equity",'Investment Analysis'!$AI$22:$AI$69,"16")</f>
        <v>0</v>
      </c>
      <c r="F358" s="217" t="s">
        <v>674</v>
      </c>
      <c r="G358" s="217" t="s">
        <v>1055</v>
      </c>
      <c r="H358" s="218" t="e">
        <f t="shared" si="134"/>
        <v>#N/A</v>
      </c>
      <c r="I358" s="218" t="str">
        <f t="shared" si="134"/>
        <v>Jun</v>
      </c>
      <c r="J358" s="217" t="str">
        <f t="shared" si="134"/>
        <v>FY25</v>
      </c>
      <c r="K358" s="217" t="s">
        <v>843</v>
      </c>
      <c r="L358" s="217" t="s">
        <v>844</v>
      </c>
      <c r="M358" s="217" t="s">
        <v>845</v>
      </c>
      <c r="N358" s="217" t="s">
        <v>846</v>
      </c>
      <c r="O358" s="217" t="s">
        <v>726</v>
      </c>
      <c r="P358" s="217" t="s">
        <v>571</v>
      </c>
      <c r="Q358" s="217" t="str">
        <f t="shared" si="135"/>
        <v>FCCS_ClosingBalance_Input</v>
      </c>
      <c r="R358" s="217" t="s">
        <v>169</v>
      </c>
      <c r="S358" s="217" t="s">
        <v>848</v>
      </c>
      <c r="T358" s="217" t="s">
        <v>850</v>
      </c>
    </row>
    <row r="359" spans="2:20" x14ac:dyDescent="0.3">
      <c r="B359" s="214" t="s">
        <v>667</v>
      </c>
      <c r="C359" s="215" t="s">
        <v>466</v>
      </c>
      <c r="D359" s="216" t="str">
        <f>[2]!HsSetValue(E359,"FCC","Scenario#"&amp;R359&amp;";Years#"&amp;J359&amp;";Period#"&amp;I359&amp;";View#"&amp;S359&amp;";Entity#"&amp;H359&amp;";Data Source#"&amp;K359&amp;";Account#"&amp;F359&amp;";Intercompany#"&amp;L359&amp;";Movement#"&amp;Q359&amp;";Consolidation#"&amp;T359&amp;";Custom1#"&amp;M359&amp;";Custom2#"&amp;N359&amp;";Custom3#"&amp;O359&amp;";Custom4#"&amp;P359&amp;"")</f>
        <v>#Invalid Syntax</v>
      </c>
      <c r="E359" s="216">
        <f>SUMIFS('Investment Analysis'!$H$22:$H$69,'Investment Analysis'!$E$22:$E$69,"Exchange Traded Funds-Equity",'Investment Analysis'!$AI$22:$AI$69,"15")</f>
        <v>0</v>
      </c>
      <c r="F359" s="217" t="s">
        <v>674</v>
      </c>
      <c r="G359" s="217" t="s">
        <v>1055</v>
      </c>
      <c r="H359" s="218" t="e">
        <f t="shared" si="134"/>
        <v>#N/A</v>
      </c>
      <c r="I359" s="218" t="str">
        <f t="shared" si="134"/>
        <v>Jun</v>
      </c>
      <c r="J359" s="217" t="str">
        <f t="shared" si="134"/>
        <v>FY25</v>
      </c>
      <c r="K359" s="217" t="s">
        <v>843</v>
      </c>
      <c r="L359" s="217" t="s">
        <v>844</v>
      </c>
      <c r="M359" s="217" t="s">
        <v>845</v>
      </c>
      <c r="N359" s="217" t="s">
        <v>846</v>
      </c>
      <c r="O359" s="217" t="s">
        <v>727</v>
      </c>
      <c r="P359" s="217" t="s">
        <v>571</v>
      </c>
      <c r="Q359" s="217" t="str">
        <f t="shared" si="135"/>
        <v>FCCS_ClosingBalance_Input</v>
      </c>
      <c r="R359" s="217" t="s">
        <v>169</v>
      </c>
      <c r="S359" s="217" t="s">
        <v>848</v>
      </c>
      <c r="T359" s="217" t="s">
        <v>850</v>
      </c>
    </row>
    <row r="360" spans="2:20" x14ac:dyDescent="0.3">
      <c r="B360" s="214" t="s">
        <v>667</v>
      </c>
      <c r="C360" s="215" t="s">
        <v>466</v>
      </c>
      <c r="D360" s="216" t="str">
        <f>[2]!HsSetValue(E360,"FCC","Scenario#"&amp;R360&amp;";Years#"&amp;J360&amp;";Period#"&amp;I360&amp;";View#"&amp;S360&amp;";Entity#"&amp;H360&amp;";Data Source#"&amp;K360&amp;";Account#"&amp;F360&amp;";Intercompany#"&amp;L360&amp;";Movement#"&amp;Q360&amp;";Consolidation#"&amp;T360&amp;";Custom1#"&amp;M360&amp;";Custom2#"&amp;N360&amp;";Custom3#"&amp;O360&amp;";Custom4#"&amp;P360&amp;"")</f>
        <v>#Invalid Syntax</v>
      </c>
      <c r="E360" s="216">
        <f>SUMIFS('Investment Analysis'!$H$22:$H$69,'Investment Analysis'!$E$22:$E$69,"Exchange Traded Funds-Equity",'Investment Analysis'!$AI$22:$AI$69,"14")</f>
        <v>0</v>
      </c>
      <c r="F360" s="217" t="s">
        <v>674</v>
      </c>
      <c r="G360" s="217" t="s">
        <v>1055</v>
      </c>
      <c r="H360" s="218" t="e">
        <f t="shared" si="134"/>
        <v>#N/A</v>
      </c>
      <c r="I360" s="218" t="str">
        <f t="shared" si="134"/>
        <v>Jun</v>
      </c>
      <c r="J360" s="217" t="str">
        <f t="shared" si="134"/>
        <v>FY25</v>
      </c>
      <c r="K360" s="217" t="s">
        <v>843</v>
      </c>
      <c r="L360" s="217" t="s">
        <v>844</v>
      </c>
      <c r="M360" s="217" t="s">
        <v>845</v>
      </c>
      <c r="N360" s="217" t="s">
        <v>846</v>
      </c>
      <c r="O360" s="217" t="s">
        <v>728</v>
      </c>
      <c r="P360" s="217" t="s">
        <v>571</v>
      </c>
      <c r="Q360" s="217" t="str">
        <f t="shared" si="135"/>
        <v>FCCS_ClosingBalance_Input</v>
      </c>
      <c r="R360" s="217" t="s">
        <v>169</v>
      </c>
      <c r="S360" s="217" t="s">
        <v>848</v>
      </c>
      <c r="T360" s="217" t="s">
        <v>850</v>
      </c>
    </row>
    <row r="361" spans="2:20" x14ac:dyDescent="0.3">
      <c r="B361" s="214" t="s">
        <v>667</v>
      </c>
      <c r="C361" s="215" t="s">
        <v>466</v>
      </c>
      <c r="D361" s="216" t="str">
        <f>[2]!HsSetValue(E361,"FCC","Scenario#"&amp;R361&amp;";Years#"&amp;J361&amp;";Period#"&amp;I361&amp;";View#"&amp;S361&amp;";Entity#"&amp;H361&amp;";Data Source#"&amp;K361&amp;";Account#"&amp;F361&amp;";Intercompany#"&amp;L361&amp;";Movement#"&amp;Q361&amp;";Consolidation#"&amp;T361&amp;";Custom1#"&amp;M361&amp;";Custom2#"&amp;N361&amp;";Custom3#"&amp;O361&amp;";Custom4#"&amp;P361&amp;"")</f>
        <v>#Invalid Syntax</v>
      </c>
      <c r="E361" s="216">
        <f>SUMIFS('Investment Analysis'!$H$22:$H$69,'Investment Analysis'!$E$22:$E$69,"Exchange Traded Funds-Equity",'Investment Analysis'!$AB$22:$AB$69,"0")+SUMIFS('Investment Analysis'!$H$22:$H$69,'Investment Analysis'!$E$22:$E$69,"Exchange Traded Funds-Equity",'Investment Analysis'!$AI$22:$AI$69,"0")</f>
        <v>0</v>
      </c>
      <c r="F361" s="217" t="s">
        <v>674</v>
      </c>
      <c r="G361" s="217" t="s">
        <v>1055</v>
      </c>
      <c r="H361" s="218" t="e">
        <f t="shared" si="134"/>
        <v>#N/A</v>
      </c>
      <c r="I361" s="218" t="str">
        <f t="shared" si="134"/>
        <v>Jun</v>
      </c>
      <c r="J361" s="217" t="str">
        <f t="shared" si="134"/>
        <v>FY25</v>
      </c>
      <c r="K361" s="217" t="s">
        <v>843</v>
      </c>
      <c r="L361" s="217" t="s">
        <v>844</v>
      </c>
      <c r="M361" s="217" t="s">
        <v>845</v>
      </c>
      <c r="N361" s="217" t="s">
        <v>846</v>
      </c>
      <c r="O361" s="217" t="s">
        <v>609</v>
      </c>
      <c r="P361" s="217" t="s">
        <v>571</v>
      </c>
      <c r="Q361" s="217" t="str">
        <f t="shared" si="135"/>
        <v>FCCS_ClosingBalance_Input</v>
      </c>
      <c r="R361" s="217" t="s">
        <v>169</v>
      </c>
      <c r="S361" s="217" t="s">
        <v>848</v>
      </c>
      <c r="T361" s="217" t="s">
        <v>850</v>
      </c>
    </row>
    <row r="362" spans="2:20" x14ac:dyDescent="0.3">
      <c r="B362" s="210"/>
      <c r="C362" s="211"/>
      <c r="D362" s="212"/>
      <c r="E362" s="212"/>
    </row>
    <row r="363" spans="2:20" x14ac:dyDescent="0.3">
      <c r="B363" s="219" t="s">
        <v>1014</v>
      </c>
      <c r="C363" s="220" t="s">
        <v>466</v>
      </c>
      <c r="D363" s="221" t="str">
        <f>[2]!HsSetValue(E363,"FCC","Scenario#"&amp;R363&amp;";Years#"&amp;J363&amp;";Period#"&amp;I363&amp;";View#"&amp;S363&amp;";Entity#"&amp;H363&amp;";Data Source#"&amp;K363&amp;";Account#"&amp;F363&amp;";Intercompany#"&amp;L363&amp;";Movement#"&amp;Q363&amp;";Consolidation#"&amp;T363&amp;";Custom1#"&amp;M363&amp;";Custom2#"&amp;N363&amp;";Custom3#"&amp;O363&amp;";Custom4#"&amp;P363&amp;"")</f>
        <v>#Invalid Syntax</v>
      </c>
      <c r="E363" s="221">
        <f>SUMIFS('Investment Analysis'!$H$22:$H$69,'Investment Analysis'!$E$22:$E$69,"Exchange Traded Funds-Equity",'Investment Analysis'!$AK$22:$AK$69,"21")</f>
        <v>0</v>
      </c>
      <c r="F363" s="222" t="s">
        <v>675</v>
      </c>
      <c r="G363" s="222" t="s">
        <v>1025</v>
      </c>
      <c r="H363" s="223" t="e">
        <f>+H$2</f>
        <v>#N/A</v>
      </c>
      <c r="I363" s="223" t="str">
        <f t="shared" ref="I363:J367" si="137">+I$2</f>
        <v>Jun</v>
      </c>
      <c r="J363" s="222" t="str">
        <f t="shared" si="137"/>
        <v>FY25</v>
      </c>
      <c r="K363" s="222" t="s">
        <v>843</v>
      </c>
      <c r="L363" s="222" t="s">
        <v>844</v>
      </c>
      <c r="M363" s="222" t="s">
        <v>845</v>
      </c>
      <c r="N363" s="222" t="s">
        <v>846</v>
      </c>
      <c r="O363" s="222" t="s">
        <v>729</v>
      </c>
      <c r="P363" s="222" t="s">
        <v>571</v>
      </c>
      <c r="Q363" s="222" t="str">
        <f t="shared" ref="Q363:Q367" si="138">Q$2</f>
        <v>FCCS_ClosingBalance_Input</v>
      </c>
      <c r="R363" s="222" t="s">
        <v>169</v>
      </c>
      <c r="S363" s="222" t="s">
        <v>848</v>
      </c>
      <c r="T363" s="222" t="s">
        <v>850</v>
      </c>
    </row>
    <row r="364" spans="2:20" x14ac:dyDescent="0.3">
      <c r="B364" s="219" t="s">
        <v>1014</v>
      </c>
      <c r="C364" s="220" t="s">
        <v>466</v>
      </c>
      <c r="D364" s="221" t="str">
        <f>[2]!HsSetValue(E364,"FCC","Scenario#"&amp;R364&amp;";Years#"&amp;J364&amp;";Period#"&amp;I364&amp;";View#"&amp;S364&amp;";Entity#"&amp;H364&amp;";Data Source#"&amp;K364&amp;";Account#"&amp;F364&amp;";Intercompany#"&amp;L364&amp;";Movement#"&amp;Q364&amp;";Consolidation#"&amp;T364&amp;";Custom1#"&amp;M364&amp;";Custom2#"&amp;N364&amp;";Custom3#"&amp;O364&amp;";Custom4#"&amp;P364&amp;"")</f>
        <v>#Invalid Syntax</v>
      </c>
      <c r="E364" s="221">
        <f>SUMIFS('Investment Analysis'!$H$22:$H$69,'Investment Analysis'!$E$22:$E$69,"Exchange Traded Funds-Equity",'Investment Analysis'!$AK$22:$AK$69,"22")</f>
        <v>0</v>
      </c>
      <c r="F364" s="222" t="s">
        <v>675</v>
      </c>
      <c r="G364" s="222" t="s">
        <v>1025</v>
      </c>
      <c r="H364" s="223" t="e">
        <f>+H$2</f>
        <v>#N/A</v>
      </c>
      <c r="I364" s="223" t="str">
        <f t="shared" si="137"/>
        <v>Jun</v>
      </c>
      <c r="J364" s="222" t="str">
        <f t="shared" si="137"/>
        <v>FY25</v>
      </c>
      <c r="K364" s="222" t="s">
        <v>843</v>
      </c>
      <c r="L364" s="222" t="s">
        <v>844</v>
      </c>
      <c r="M364" s="222" t="s">
        <v>845</v>
      </c>
      <c r="N364" s="222" t="s">
        <v>846</v>
      </c>
      <c r="O364" s="222" t="s">
        <v>730</v>
      </c>
      <c r="P364" s="222" t="s">
        <v>571</v>
      </c>
      <c r="Q364" s="222" t="str">
        <f t="shared" si="138"/>
        <v>FCCS_ClosingBalance_Input</v>
      </c>
      <c r="R364" s="222" t="s">
        <v>169</v>
      </c>
      <c r="S364" s="222" t="s">
        <v>848</v>
      </c>
      <c r="T364" s="222" t="s">
        <v>850</v>
      </c>
    </row>
    <row r="365" spans="2:20" x14ac:dyDescent="0.3">
      <c r="B365" s="219" t="s">
        <v>1014</v>
      </c>
      <c r="C365" s="220" t="s">
        <v>466</v>
      </c>
      <c r="D365" s="221" t="str">
        <f>[2]!HsSetValue(E365,"FCC","Scenario#"&amp;R365&amp;";Years#"&amp;J365&amp;";Period#"&amp;I365&amp;";View#"&amp;S365&amp;";Entity#"&amp;H365&amp;";Data Source#"&amp;K365&amp;";Account#"&amp;F365&amp;";Intercompany#"&amp;L365&amp;";Movement#"&amp;Q365&amp;";Consolidation#"&amp;T365&amp;";Custom1#"&amp;M365&amp;";Custom2#"&amp;N365&amp;";Custom3#"&amp;O365&amp;";Custom4#"&amp;P365&amp;"")</f>
        <v>#Invalid Syntax</v>
      </c>
      <c r="E365" s="221">
        <f>SUMIFS('Investment Analysis'!$H$22:$H$69,'Investment Analysis'!$E$22:$E$69,"Exchange Traded Funds-Equity",'Investment Analysis'!$AK$22:$AK$69,"23")</f>
        <v>0</v>
      </c>
      <c r="F365" s="222" t="s">
        <v>675</v>
      </c>
      <c r="G365" s="222" t="s">
        <v>1025</v>
      </c>
      <c r="H365" s="223" t="e">
        <f>+H$2</f>
        <v>#N/A</v>
      </c>
      <c r="I365" s="223" t="str">
        <f t="shared" si="137"/>
        <v>Jun</v>
      </c>
      <c r="J365" s="222" t="str">
        <f t="shared" si="137"/>
        <v>FY25</v>
      </c>
      <c r="K365" s="222" t="s">
        <v>843</v>
      </c>
      <c r="L365" s="222" t="s">
        <v>844</v>
      </c>
      <c r="M365" s="222" t="s">
        <v>845</v>
      </c>
      <c r="N365" s="222" t="s">
        <v>846</v>
      </c>
      <c r="O365" s="222" t="s">
        <v>731</v>
      </c>
      <c r="P365" s="222" t="s">
        <v>571</v>
      </c>
      <c r="Q365" s="222" t="str">
        <f t="shared" si="138"/>
        <v>FCCS_ClosingBalance_Input</v>
      </c>
      <c r="R365" s="222" t="s">
        <v>169</v>
      </c>
      <c r="S365" s="222" t="s">
        <v>848</v>
      </c>
      <c r="T365" s="222" t="s">
        <v>850</v>
      </c>
    </row>
    <row r="366" spans="2:20" x14ac:dyDescent="0.3">
      <c r="B366" s="219" t="s">
        <v>1014</v>
      </c>
      <c r="C366" s="220" t="s">
        <v>466</v>
      </c>
      <c r="D366" s="221" t="str">
        <f>[2]!HsSetValue(E366,"FCC","Scenario#"&amp;R366&amp;";Years#"&amp;J366&amp;";Period#"&amp;I366&amp;";View#"&amp;S366&amp;";Entity#"&amp;H366&amp;";Data Source#"&amp;K366&amp;";Account#"&amp;F366&amp;";Intercompany#"&amp;L366&amp;";Movement#"&amp;Q366&amp;";Consolidation#"&amp;T366&amp;";Custom1#"&amp;M366&amp;";Custom2#"&amp;N366&amp;";Custom3#"&amp;O366&amp;";Custom4#"&amp;P366&amp;"")</f>
        <v>#Invalid Syntax</v>
      </c>
      <c r="E366" s="221">
        <f>SUMIFS('Investment Analysis'!$H$22:$H$69,'Investment Analysis'!$E$22:$E$69,"Exchange Traded Funds-Equity",'Investment Analysis'!$AK$22:$AK$69,"24")</f>
        <v>0</v>
      </c>
      <c r="F366" s="222" t="s">
        <v>675</v>
      </c>
      <c r="G366" s="222" t="s">
        <v>1025</v>
      </c>
      <c r="H366" s="223" t="e">
        <f>+H$2</f>
        <v>#N/A</v>
      </c>
      <c r="I366" s="223" t="str">
        <f t="shared" si="137"/>
        <v>Jun</v>
      </c>
      <c r="J366" s="222" t="str">
        <f t="shared" si="137"/>
        <v>FY25</v>
      </c>
      <c r="K366" s="222" t="s">
        <v>843</v>
      </c>
      <c r="L366" s="222" t="s">
        <v>844</v>
      </c>
      <c r="M366" s="222" t="s">
        <v>845</v>
      </c>
      <c r="N366" s="222" t="s">
        <v>846</v>
      </c>
      <c r="O366" s="222" t="s">
        <v>732</v>
      </c>
      <c r="P366" s="222" t="s">
        <v>571</v>
      </c>
      <c r="Q366" s="222" t="str">
        <f t="shared" si="138"/>
        <v>FCCS_ClosingBalance_Input</v>
      </c>
      <c r="R366" s="222" t="s">
        <v>169</v>
      </c>
      <c r="S366" s="222" t="s">
        <v>848</v>
      </c>
      <c r="T366" s="222" t="s">
        <v>850</v>
      </c>
    </row>
    <row r="367" spans="2:20" x14ac:dyDescent="0.3">
      <c r="B367" s="219" t="s">
        <v>1014</v>
      </c>
      <c r="C367" s="220" t="s">
        <v>466</v>
      </c>
      <c r="D367" s="221" t="str">
        <f>[2]!HsSetValue(E367,"FCC","Scenario#"&amp;R367&amp;";Years#"&amp;J367&amp;";Period#"&amp;I367&amp;";View#"&amp;S367&amp;";Entity#"&amp;H367&amp;";Data Source#"&amp;K367&amp;";Account#"&amp;F367&amp;";Intercompany#"&amp;L367&amp;";Movement#"&amp;Q367&amp;";Consolidation#"&amp;T367&amp;";Custom1#"&amp;M367&amp;";Custom2#"&amp;N367&amp;";Custom3#"&amp;O367&amp;";Custom4#"&amp;P367&amp;"")</f>
        <v>#Invalid Syntax</v>
      </c>
      <c r="E367" s="221">
        <f>SUMIFS('Investment Analysis'!$H$22:$H$69,'Investment Analysis'!$E$22:$E$69,"Exchange Traded Funds-Equity",'Investment Analysis'!$AK$22:$AK$69,"25")</f>
        <v>0</v>
      </c>
      <c r="F367" s="222" t="s">
        <v>675</v>
      </c>
      <c r="G367" s="222" t="s">
        <v>1025</v>
      </c>
      <c r="H367" s="223" t="e">
        <f>+H$2</f>
        <v>#N/A</v>
      </c>
      <c r="I367" s="223" t="str">
        <f t="shared" si="137"/>
        <v>Jun</v>
      </c>
      <c r="J367" s="222" t="str">
        <f t="shared" si="137"/>
        <v>FY25</v>
      </c>
      <c r="K367" s="222" t="s">
        <v>843</v>
      </c>
      <c r="L367" s="222" t="s">
        <v>844</v>
      </c>
      <c r="M367" s="222" t="s">
        <v>845</v>
      </c>
      <c r="N367" s="222" t="s">
        <v>846</v>
      </c>
      <c r="O367" s="222" t="s">
        <v>733</v>
      </c>
      <c r="P367" s="222" t="s">
        <v>571</v>
      </c>
      <c r="Q367" s="222" t="str">
        <f t="shared" si="138"/>
        <v>FCCS_ClosingBalance_Input</v>
      </c>
      <c r="R367" s="222" t="s">
        <v>169</v>
      </c>
      <c r="S367" s="222" t="s">
        <v>848</v>
      </c>
      <c r="T367" s="222" t="s">
        <v>850</v>
      </c>
    </row>
    <row r="368" spans="2:20" outlineLevel="1" x14ac:dyDescent="0.3"/>
    <row r="369" spans="2:20" x14ac:dyDescent="0.3">
      <c r="B369" s="364" t="s">
        <v>668</v>
      </c>
      <c r="C369" s="365" t="s">
        <v>413</v>
      </c>
      <c r="D369" s="366" t="str">
        <f>[2]!HsSetValue(E369,"FCC","Scenario#"&amp;R369&amp;";Years#"&amp;J369&amp;";Period#"&amp;I369&amp;";View#"&amp;S369&amp;";Entity#"&amp;H369&amp;";Data Source#"&amp;K369&amp;";Account#"&amp;F369&amp;";Intercompany#"&amp;L369&amp;";Movement#"&amp;Q369&amp;";Consolidation#"&amp;T369&amp;";Custom1#"&amp;M369&amp;";Custom2#"&amp;N369&amp;";Custom3#"&amp;O369&amp;";Custom4#"&amp;P369&amp;"")</f>
        <v>#Invalid Syntax</v>
      </c>
      <c r="E369" s="366">
        <f>SUMIF('Investment Analysis'!$E$22:$E$69,'FCC Investments - Load Tab'!C369,'Investment Analysis'!$K$22:$K$69)</f>
        <v>0</v>
      </c>
      <c r="F369" s="367" t="s">
        <v>673</v>
      </c>
      <c r="G369" s="367" t="s">
        <v>691</v>
      </c>
      <c r="H369" s="368" t="e">
        <f>+H$2</f>
        <v>#N/A</v>
      </c>
      <c r="I369" s="368" t="str">
        <f t="shared" ref="I369:J373" si="139">+I$2</f>
        <v>Jun</v>
      </c>
      <c r="J369" s="367" t="str">
        <f t="shared" si="139"/>
        <v>FY25</v>
      </c>
      <c r="K369" s="367" t="s">
        <v>843</v>
      </c>
      <c r="L369" s="367" t="s">
        <v>844</v>
      </c>
      <c r="M369" s="367" t="s">
        <v>845</v>
      </c>
      <c r="N369" s="367" t="s">
        <v>846</v>
      </c>
      <c r="O369" s="367" t="s">
        <v>721</v>
      </c>
      <c r="P369" s="367" t="s">
        <v>572</v>
      </c>
      <c r="Q369" s="367" t="str">
        <f t="shared" ref="Q369:Q373" si="140">Q$2</f>
        <v>FCCS_ClosingBalance_Input</v>
      </c>
      <c r="R369" s="367" t="s">
        <v>169</v>
      </c>
      <c r="S369" s="367" t="s">
        <v>848</v>
      </c>
      <c r="T369" s="367" t="s">
        <v>850</v>
      </c>
    </row>
    <row r="370" spans="2:20" x14ac:dyDescent="0.3">
      <c r="B370" s="364" t="s">
        <v>668</v>
      </c>
      <c r="C370" s="365" t="s">
        <v>413</v>
      </c>
      <c r="D370" s="366" t="str">
        <f>[2]!HsSetValue(E370,"FCC","Scenario#"&amp;R370&amp;";Years#"&amp;J370&amp;";Period#"&amp;I370&amp;";View#"&amp;S370&amp;";Entity#"&amp;H370&amp;";Data Source#"&amp;K370&amp;";Account#"&amp;F370&amp;";Intercompany#"&amp;L370&amp;";Movement#"&amp;Q370&amp;";Consolidation#"&amp;T370&amp;";Custom1#"&amp;M370&amp;";Custom2#"&amp;N370&amp;";Custom3#"&amp;O370&amp;";Custom4#"&amp;P370&amp;"")</f>
        <v>#Invalid Syntax</v>
      </c>
      <c r="E370" s="366">
        <f>SUMIF('Investment Analysis'!$E$22:$E$69,'FCC Investments - Load Tab'!C369,'Investment Analysis'!$L$22:$L$69)</f>
        <v>0</v>
      </c>
      <c r="F370" s="367" t="s">
        <v>673</v>
      </c>
      <c r="G370" s="367" t="s">
        <v>691</v>
      </c>
      <c r="H370" s="368" t="e">
        <f>+H$2</f>
        <v>#N/A</v>
      </c>
      <c r="I370" s="368" t="str">
        <f t="shared" si="139"/>
        <v>Jun</v>
      </c>
      <c r="J370" s="367" t="str">
        <f t="shared" si="139"/>
        <v>FY25</v>
      </c>
      <c r="K370" s="367" t="s">
        <v>843</v>
      </c>
      <c r="L370" s="367" t="s">
        <v>844</v>
      </c>
      <c r="M370" s="367" t="s">
        <v>845</v>
      </c>
      <c r="N370" s="367" t="s">
        <v>846</v>
      </c>
      <c r="O370" s="367" t="s">
        <v>722</v>
      </c>
      <c r="P370" s="367" t="s">
        <v>572</v>
      </c>
      <c r="Q370" s="367" t="str">
        <f t="shared" si="140"/>
        <v>FCCS_ClosingBalance_Input</v>
      </c>
      <c r="R370" s="367" t="s">
        <v>169</v>
      </c>
      <c r="S370" s="367" t="s">
        <v>848</v>
      </c>
      <c r="T370" s="367" t="s">
        <v>850</v>
      </c>
    </row>
    <row r="371" spans="2:20" x14ac:dyDescent="0.3">
      <c r="B371" s="364" t="s">
        <v>668</v>
      </c>
      <c r="C371" s="365" t="s">
        <v>413</v>
      </c>
      <c r="D371" s="366" t="str">
        <f>[2]!HsSetValue(E371,"FCC","Scenario#"&amp;R371&amp;";Years#"&amp;J371&amp;";Period#"&amp;I371&amp;";View#"&amp;S371&amp;";Entity#"&amp;H371&amp;";Data Source#"&amp;K371&amp;";Account#"&amp;F371&amp;";Intercompany#"&amp;L371&amp;";Movement#"&amp;Q371&amp;";Consolidation#"&amp;T371&amp;";Custom1#"&amp;M371&amp;";Custom2#"&amp;N371&amp;";Custom3#"&amp;O371&amp;";Custom4#"&amp;P371&amp;"")</f>
        <v>#Invalid Syntax</v>
      </c>
      <c r="E371" s="366">
        <f>SUMIF('Investment Analysis'!$E$22:$E$69,'FCC Investments - Load Tab'!C369,'Investment Analysis'!$M$22:$M$69)</f>
        <v>0</v>
      </c>
      <c r="F371" s="367" t="s">
        <v>673</v>
      </c>
      <c r="G371" s="367" t="s">
        <v>691</v>
      </c>
      <c r="H371" s="368" t="e">
        <f>+H$2</f>
        <v>#N/A</v>
      </c>
      <c r="I371" s="368" t="str">
        <f t="shared" si="139"/>
        <v>Jun</v>
      </c>
      <c r="J371" s="367" t="str">
        <f t="shared" si="139"/>
        <v>FY25</v>
      </c>
      <c r="K371" s="367" t="s">
        <v>843</v>
      </c>
      <c r="L371" s="367" t="s">
        <v>844</v>
      </c>
      <c r="M371" s="367" t="s">
        <v>845</v>
      </c>
      <c r="N371" s="367" t="s">
        <v>846</v>
      </c>
      <c r="O371" s="367" t="s">
        <v>723</v>
      </c>
      <c r="P371" s="367" t="s">
        <v>572</v>
      </c>
      <c r="Q371" s="367" t="str">
        <f t="shared" si="140"/>
        <v>FCCS_ClosingBalance_Input</v>
      </c>
      <c r="R371" s="367" t="s">
        <v>169</v>
      </c>
      <c r="S371" s="367" t="s">
        <v>848</v>
      </c>
      <c r="T371" s="367" t="s">
        <v>850</v>
      </c>
    </row>
    <row r="372" spans="2:20" x14ac:dyDescent="0.3">
      <c r="B372" s="364" t="s">
        <v>668</v>
      </c>
      <c r="C372" s="365" t="s">
        <v>413</v>
      </c>
      <c r="D372" s="366" t="str">
        <f>[2]!HsSetValue(E372,"FCC","Scenario#"&amp;R372&amp;";Years#"&amp;J372&amp;";Period#"&amp;I372&amp;";View#"&amp;S372&amp;";Entity#"&amp;H372&amp;";Data Source#"&amp;K372&amp;";Account#"&amp;F372&amp;";Intercompany#"&amp;L372&amp;";Movement#"&amp;Q372&amp;";Consolidation#"&amp;T372&amp;";Custom1#"&amp;M372&amp;";Custom2#"&amp;N372&amp;";Custom3#"&amp;O372&amp;";Custom4#"&amp;P372&amp;"")</f>
        <v>#Invalid Syntax</v>
      </c>
      <c r="E372" s="366">
        <f>SUMIF('Investment Analysis'!$E$22:$E$69,'FCC Investments - Load Tab'!C372,'Investment Analysis'!$N$22:$N$69)</f>
        <v>0</v>
      </c>
      <c r="F372" s="367" t="s">
        <v>673</v>
      </c>
      <c r="G372" s="367" t="s">
        <v>691</v>
      </c>
      <c r="H372" s="368" t="e">
        <f>+H$2</f>
        <v>#N/A</v>
      </c>
      <c r="I372" s="368" t="str">
        <f t="shared" si="139"/>
        <v>Jun</v>
      </c>
      <c r="J372" s="367" t="str">
        <f t="shared" si="139"/>
        <v>FY25</v>
      </c>
      <c r="K372" s="367" t="s">
        <v>843</v>
      </c>
      <c r="L372" s="367" t="s">
        <v>844</v>
      </c>
      <c r="M372" s="367" t="s">
        <v>845</v>
      </c>
      <c r="N372" s="367" t="s">
        <v>846</v>
      </c>
      <c r="O372" s="367" t="s">
        <v>724</v>
      </c>
      <c r="P372" s="367" t="s">
        <v>572</v>
      </c>
      <c r="Q372" s="367" t="str">
        <f t="shared" si="140"/>
        <v>FCCS_ClosingBalance_Input</v>
      </c>
      <c r="R372" s="367" t="s">
        <v>169</v>
      </c>
      <c r="S372" s="367" t="s">
        <v>848</v>
      </c>
      <c r="T372" s="367" t="s">
        <v>850</v>
      </c>
    </row>
    <row r="373" spans="2:20" x14ac:dyDescent="0.3">
      <c r="B373" s="364" t="s">
        <v>668</v>
      </c>
      <c r="C373" s="365" t="s">
        <v>413</v>
      </c>
      <c r="D373" s="366" t="str">
        <f>[2]!HsSetValue(E373,"FCC","Scenario#"&amp;R373&amp;";Years#"&amp;J373&amp;";Period#"&amp;I373&amp;";View#"&amp;S373&amp;";Entity#"&amp;H373&amp;";Data Source#"&amp;K373&amp;";Account#"&amp;F373&amp;";Intercompany#"&amp;L373&amp;";Movement#"&amp;Q373&amp;";Consolidation#"&amp;T373&amp;";Custom1#"&amp;M373&amp;";Custom2#"&amp;N373&amp;";Custom3#"&amp;O373&amp;";Custom4#"&amp;P373&amp;"")</f>
        <v>#Invalid Syntax</v>
      </c>
      <c r="E373" s="366">
        <f>SUMIF('Investment Analysis'!$E$2:$E$69,'FCC Investments - Load Tab'!C373,'Investment Analysis'!$O$2:$O$69)</f>
        <v>0</v>
      </c>
      <c r="F373" s="367" t="s">
        <v>673</v>
      </c>
      <c r="G373" s="367" t="s">
        <v>691</v>
      </c>
      <c r="H373" s="368" t="e">
        <f>+H$2</f>
        <v>#N/A</v>
      </c>
      <c r="I373" s="368" t="str">
        <f t="shared" si="139"/>
        <v>Jun</v>
      </c>
      <c r="J373" s="367" t="str">
        <f t="shared" si="139"/>
        <v>FY25</v>
      </c>
      <c r="K373" s="367" t="s">
        <v>843</v>
      </c>
      <c r="L373" s="367" t="s">
        <v>844</v>
      </c>
      <c r="M373" s="367" t="s">
        <v>845</v>
      </c>
      <c r="N373" s="367" t="s">
        <v>846</v>
      </c>
      <c r="O373" s="367" t="s">
        <v>725</v>
      </c>
      <c r="P373" s="367" t="s">
        <v>572</v>
      </c>
      <c r="Q373" s="367" t="str">
        <f t="shared" si="140"/>
        <v>FCCS_ClosingBalance_Input</v>
      </c>
      <c r="R373" s="367" t="s">
        <v>169</v>
      </c>
      <c r="S373" s="367" t="s">
        <v>848</v>
      </c>
      <c r="T373" s="367" t="s">
        <v>850</v>
      </c>
    </row>
    <row r="374" spans="2:20" x14ac:dyDescent="0.3">
      <c r="B374" s="210"/>
      <c r="C374" s="211"/>
      <c r="D374" s="212"/>
      <c r="E374" s="212"/>
    </row>
    <row r="375" spans="2:20" x14ac:dyDescent="0.3">
      <c r="B375" s="214" t="s">
        <v>667</v>
      </c>
      <c r="C375" s="215" t="s">
        <v>413</v>
      </c>
      <c r="D375" s="216" t="str">
        <f>[2]!HsSetValue(E375,"FCC","Scenario#"&amp;R375&amp;";Years#"&amp;J375&amp;";Period#"&amp;I375&amp;";View#"&amp;S375&amp;";Entity#"&amp;H375&amp;";Data Source#"&amp;K375&amp;";Account#"&amp;F375&amp;";Intercompany#"&amp;L375&amp;";Movement#"&amp;Q375&amp;";Consolidation#"&amp;T375&amp;";Custom1#"&amp;M375&amp;";Custom2#"&amp;N375&amp;";Custom3#"&amp;O375&amp;";Custom4#"&amp;P375&amp;"")</f>
        <v>#Invalid Syntax</v>
      </c>
      <c r="E375" s="216">
        <f>SUMIFS('Investment Analysis'!$H$22:$H$69,'Investment Analysis'!$E$22:$E$69,"International Government Obligations",'Investment Analysis'!$AB$22:$AB$69,"10")</f>
        <v>0</v>
      </c>
      <c r="F375" s="217" t="s">
        <v>674</v>
      </c>
      <c r="G375" s="217" t="s">
        <v>1056</v>
      </c>
      <c r="H375" s="218" t="e">
        <f t="shared" ref="H375:N388" si="141">+H$2</f>
        <v>#N/A</v>
      </c>
      <c r="I375" s="218" t="str">
        <f t="shared" si="141"/>
        <v>Jun</v>
      </c>
      <c r="J375" s="217" t="str">
        <f t="shared" si="141"/>
        <v>FY25</v>
      </c>
      <c r="K375" s="217" t="s">
        <v>843</v>
      </c>
      <c r="L375" s="217" t="s">
        <v>844</v>
      </c>
      <c r="M375" s="217" t="s">
        <v>845</v>
      </c>
      <c r="N375" s="217" t="s">
        <v>846</v>
      </c>
      <c r="O375" s="217" t="s">
        <v>433</v>
      </c>
      <c r="P375" s="217" t="s">
        <v>572</v>
      </c>
      <c r="Q375" s="217" t="str">
        <f t="shared" ref="Q375:Q388" si="142">Q$2</f>
        <v>FCCS_ClosingBalance_Input</v>
      </c>
      <c r="R375" s="217" t="s">
        <v>169</v>
      </c>
      <c r="S375" s="217" t="s">
        <v>848</v>
      </c>
      <c r="T375" s="217" t="s">
        <v>850</v>
      </c>
    </row>
    <row r="376" spans="2:20" x14ac:dyDescent="0.3">
      <c r="B376" s="214" t="s">
        <v>667</v>
      </c>
      <c r="C376" s="215" t="s">
        <v>413</v>
      </c>
      <c r="D376" s="216" t="str">
        <f>[2]!HsSetValue(E376,"FCC","Scenario#"&amp;R376&amp;";Years#"&amp;J376&amp;";Period#"&amp;I376&amp;";View#"&amp;S376&amp;";Entity#"&amp;H376&amp;";Data Source#"&amp;K376&amp;";Account#"&amp;F376&amp;";Intercompany#"&amp;L376&amp;";Movement#"&amp;Q376&amp;";Consolidation#"&amp;T376&amp;";Custom1#"&amp;M376&amp;";Custom2#"&amp;N376&amp;";Custom3#"&amp;O376&amp;";Custom4#"&amp;P376&amp;"")</f>
        <v>#Invalid Syntax</v>
      </c>
      <c r="E376" s="216">
        <f>SUMIFS('Investment Analysis'!$H$22:$H$69,'Investment Analysis'!$E$22:$E$69,"International Government Obligations",'Investment Analysis'!$AB$22:$AB$69,"9")</f>
        <v>0</v>
      </c>
      <c r="F376" s="217" t="s">
        <v>674</v>
      </c>
      <c r="G376" s="217" t="s">
        <v>1056</v>
      </c>
      <c r="H376" s="218" t="e">
        <f t="shared" si="141"/>
        <v>#N/A</v>
      </c>
      <c r="I376" s="218" t="str">
        <f t="shared" si="141"/>
        <v>Jun</v>
      </c>
      <c r="J376" s="217" t="str">
        <f t="shared" si="141"/>
        <v>FY25</v>
      </c>
      <c r="K376" s="217" t="s">
        <v>843</v>
      </c>
      <c r="L376" s="217" t="s">
        <v>844</v>
      </c>
      <c r="M376" s="217" t="s">
        <v>845</v>
      </c>
      <c r="N376" s="217" t="s">
        <v>846</v>
      </c>
      <c r="O376" s="217" t="s">
        <v>596</v>
      </c>
      <c r="P376" s="217" t="s">
        <v>572</v>
      </c>
      <c r="Q376" s="217" t="str">
        <f t="shared" si="142"/>
        <v>FCCS_ClosingBalance_Input</v>
      </c>
      <c r="R376" s="217" t="s">
        <v>169</v>
      </c>
      <c r="S376" s="217" t="s">
        <v>848</v>
      </c>
      <c r="T376" s="217" t="s">
        <v>850</v>
      </c>
    </row>
    <row r="377" spans="2:20" x14ac:dyDescent="0.3">
      <c r="B377" s="214" t="s">
        <v>667</v>
      </c>
      <c r="C377" s="215" t="s">
        <v>413</v>
      </c>
      <c r="D377" s="216" t="str">
        <f>[2]!HsSetValue(E377,"FCC","Scenario#"&amp;R377&amp;";Years#"&amp;J377&amp;";Period#"&amp;I377&amp;";View#"&amp;S377&amp;";Entity#"&amp;H377&amp;";Data Source#"&amp;K377&amp;";Account#"&amp;F377&amp;";Intercompany#"&amp;L377&amp;";Movement#"&amp;Q377&amp;";Consolidation#"&amp;T377&amp;";Custom1#"&amp;M377&amp;";Custom2#"&amp;N377&amp;";Custom3#"&amp;O377&amp;";Custom4#"&amp;P377&amp;"")</f>
        <v>#Invalid Syntax</v>
      </c>
      <c r="E377" s="216">
        <f>SUMIFS('Investment Analysis'!$H$22:$H$69,'Investment Analysis'!$E$22:$E$69,"International Government Obligations",'Investment Analysis'!$AB$22:$AB$69,"8")</f>
        <v>0</v>
      </c>
      <c r="F377" s="217" t="s">
        <v>674</v>
      </c>
      <c r="G377" s="217" t="s">
        <v>1056</v>
      </c>
      <c r="H377" s="218" t="e">
        <f t="shared" si="141"/>
        <v>#N/A</v>
      </c>
      <c r="I377" s="218" t="str">
        <f t="shared" si="141"/>
        <v>Jun</v>
      </c>
      <c r="J377" s="217" t="str">
        <f t="shared" si="141"/>
        <v>FY25</v>
      </c>
      <c r="K377" s="217" t="s">
        <v>843</v>
      </c>
      <c r="L377" s="217" t="s">
        <v>844</v>
      </c>
      <c r="M377" s="217" t="s">
        <v>845</v>
      </c>
      <c r="N377" s="217" t="s">
        <v>846</v>
      </c>
      <c r="O377" s="217" t="s">
        <v>61</v>
      </c>
      <c r="P377" s="217" t="s">
        <v>572</v>
      </c>
      <c r="Q377" s="217" t="str">
        <f t="shared" si="142"/>
        <v>FCCS_ClosingBalance_Input</v>
      </c>
      <c r="R377" s="217" t="s">
        <v>169</v>
      </c>
      <c r="S377" s="217" t="s">
        <v>848</v>
      </c>
      <c r="T377" s="217" t="s">
        <v>850</v>
      </c>
    </row>
    <row r="378" spans="2:20" x14ac:dyDescent="0.3">
      <c r="B378" s="214" t="s">
        <v>667</v>
      </c>
      <c r="C378" s="215" t="s">
        <v>413</v>
      </c>
      <c r="D378" s="216" t="str">
        <f>[2]!HsSetValue(E378,"FCC","Scenario#"&amp;R378&amp;";Years#"&amp;J378&amp;";Period#"&amp;I378&amp;";View#"&amp;S378&amp;";Entity#"&amp;H378&amp;";Data Source#"&amp;K378&amp;";Account#"&amp;F378&amp;";Intercompany#"&amp;L378&amp;";Movement#"&amp;Q378&amp;";Consolidation#"&amp;T378&amp;";Custom1#"&amp;M378&amp;";Custom2#"&amp;N378&amp;";Custom3#"&amp;O378&amp;";Custom4#"&amp;P378&amp;"")</f>
        <v>#Invalid Syntax</v>
      </c>
      <c r="E378" s="216">
        <f>SUMIFS('Investment Analysis'!$H$22:$H$69,'Investment Analysis'!$E$22:$E$69,"International Government Obligations",'Investment Analysis'!$AB$22:$AB$69,"7")</f>
        <v>0</v>
      </c>
      <c r="F378" s="217" t="s">
        <v>674</v>
      </c>
      <c r="G378" s="217" t="s">
        <v>1056</v>
      </c>
      <c r="H378" s="218" t="e">
        <f t="shared" si="141"/>
        <v>#N/A</v>
      </c>
      <c r="I378" s="218" t="str">
        <f t="shared" si="141"/>
        <v>Jun</v>
      </c>
      <c r="J378" s="217" t="str">
        <f t="shared" si="141"/>
        <v>FY25</v>
      </c>
      <c r="K378" s="217" t="s">
        <v>843</v>
      </c>
      <c r="L378" s="217" t="s">
        <v>844</v>
      </c>
      <c r="M378" s="217" t="s">
        <v>845</v>
      </c>
      <c r="N378" s="217" t="s">
        <v>846</v>
      </c>
      <c r="O378" s="217" t="s">
        <v>62</v>
      </c>
      <c r="P378" s="217" t="s">
        <v>572</v>
      </c>
      <c r="Q378" s="217" t="str">
        <f t="shared" si="142"/>
        <v>FCCS_ClosingBalance_Input</v>
      </c>
      <c r="R378" s="217" t="s">
        <v>169</v>
      </c>
      <c r="S378" s="217" t="s">
        <v>848</v>
      </c>
      <c r="T378" s="217" t="s">
        <v>850</v>
      </c>
    </row>
    <row r="379" spans="2:20" x14ac:dyDescent="0.3">
      <c r="B379" s="214" t="s">
        <v>667</v>
      </c>
      <c r="C379" s="215" t="s">
        <v>413</v>
      </c>
      <c r="D379" s="216" t="str">
        <f>[2]!HsSetValue(E379,"FCC","Scenario#"&amp;R379&amp;";Years#"&amp;J379&amp;";Period#"&amp;I379&amp;";View#"&amp;S379&amp;";Entity#"&amp;H379&amp;";Data Source#"&amp;K379&amp;";Account#"&amp;F379&amp;";Intercompany#"&amp;L379&amp;";Movement#"&amp;Q379&amp;";Consolidation#"&amp;T379&amp;";Custom1#"&amp;M379&amp;";Custom2#"&amp;N379&amp;";Custom3#"&amp;O379&amp;";Custom4#"&amp;P379&amp;"")</f>
        <v>#Invalid Syntax</v>
      </c>
      <c r="E379" s="216">
        <f>SUMIFS('Investment Analysis'!$H$22:$H$69,'Investment Analysis'!$E$22:$E$69,"International Government Obligations",'Investment Analysis'!$AB$22:$AB$69,"6")</f>
        <v>0</v>
      </c>
      <c r="F379" s="217" t="s">
        <v>674</v>
      </c>
      <c r="G379" s="217" t="s">
        <v>1056</v>
      </c>
      <c r="H379" s="218" t="e">
        <f t="shared" si="141"/>
        <v>#N/A</v>
      </c>
      <c r="I379" s="218" t="str">
        <f t="shared" si="141"/>
        <v>Jun</v>
      </c>
      <c r="J379" s="217" t="str">
        <f t="shared" si="141"/>
        <v>FY25</v>
      </c>
      <c r="K379" s="217" t="s">
        <v>843</v>
      </c>
      <c r="L379" s="217" t="s">
        <v>844</v>
      </c>
      <c r="M379" s="217" t="s">
        <v>845</v>
      </c>
      <c r="N379" s="217" t="s">
        <v>846</v>
      </c>
      <c r="O379" s="217" t="s">
        <v>436</v>
      </c>
      <c r="P379" s="217" t="s">
        <v>572</v>
      </c>
      <c r="Q379" s="217" t="str">
        <f t="shared" si="142"/>
        <v>FCCS_ClosingBalance_Input</v>
      </c>
      <c r="R379" s="217" t="s">
        <v>169</v>
      </c>
      <c r="S379" s="217" t="s">
        <v>848</v>
      </c>
      <c r="T379" s="217" t="s">
        <v>850</v>
      </c>
    </row>
    <row r="380" spans="2:20" s="371" customFormat="1" x14ac:dyDescent="0.3">
      <c r="B380" s="214" t="s">
        <v>667</v>
      </c>
      <c r="C380" s="215" t="s">
        <v>413</v>
      </c>
      <c r="D380" s="216" t="str">
        <f>[2]!HsSetValue(E380,"FCC","Scenario#"&amp;R380&amp;";Years#"&amp;J380&amp;";Period#"&amp;I380&amp;";View#"&amp;S380&amp;";Entity#"&amp;H380&amp;";Data Source#"&amp;K380&amp;";Account#"&amp;F380&amp;";Intercompany#"&amp;L380&amp;";Movement#"&amp;Q380&amp;";Consolidation#"&amp;T380&amp;";Custom1#"&amp;M380&amp;";Custom2#"&amp;N380&amp;";Custom3#"&amp;O380&amp;";Custom4#"&amp;P380&amp;"")</f>
        <v>#Invalid Syntax</v>
      </c>
      <c r="E380" s="216">
        <f>SUMIFS('Investment Analysis'!$H$22:$H$69,'Investment Analysis'!$E$22:$E$69,"International Government Obligations",'Investment Analysis'!$AB$22:$AB$69,"5")</f>
        <v>0</v>
      </c>
      <c r="F380" s="217" t="s">
        <v>674</v>
      </c>
      <c r="G380" s="217" t="s">
        <v>1056</v>
      </c>
      <c r="H380" s="218" t="e">
        <f t="shared" si="141"/>
        <v>#N/A</v>
      </c>
      <c r="I380" s="218" t="str">
        <f t="shared" si="141"/>
        <v>Jun</v>
      </c>
      <c r="J380" s="217" t="str">
        <f t="shared" si="141"/>
        <v>FY25</v>
      </c>
      <c r="K380" s="217" t="str">
        <f t="shared" si="141"/>
        <v>FCCS_Other Data</v>
      </c>
      <c r="L380" s="217" t="str">
        <f t="shared" si="141"/>
        <v>FCCS_No Intercompany</v>
      </c>
      <c r="M380" s="217" t="str">
        <f>+M$1</f>
        <v>No Custom1</v>
      </c>
      <c r="N380" s="217" t="str">
        <f t="shared" si="141"/>
        <v>No Custom2</v>
      </c>
      <c r="O380" s="217" t="s">
        <v>434</v>
      </c>
      <c r="P380" s="217" t="s">
        <v>572</v>
      </c>
      <c r="Q380" s="217" t="str">
        <f t="shared" si="142"/>
        <v>FCCS_ClosingBalance_Input</v>
      </c>
      <c r="R380" s="217" t="str">
        <f t="shared" ref="R380:S384" si="143">+R$2</f>
        <v>Actual</v>
      </c>
      <c r="S380" s="217" t="str">
        <f t="shared" si="143"/>
        <v>FCCS_YTD_Input</v>
      </c>
      <c r="T380" s="217" t="s">
        <v>850</v>
      </c>
    </row>
    <row r="381" spans="2:20" s="371" customFormat="1" x14ac:dyDescent="0.3">
      <c r="B381" s="214" t="s">
        <v>667</v>
      </c>
      <c r="C381" s="215" t="s">
        <v>413</v>
      </c>
      <c r="D381" s="216" t="str">
        <f>[2]!HsSetValue(E381,"FCC","Scenario#"&amp;R381&amp;";Years#"&amp;J381&amp;";Period#"&amp;I381&amp;";View#"&amp;S381&amp;";Entity#"&amp;H381&amp;";Data Source#"&amp;K381&amp;";Account#"&amp;F381&amp;";Intercompany#"&amp;L381&amp;";Movement#"&amp;Q381&amp;";Consolidation#"&amp;T381&amp;";Custom1#"&amp;M381&amp;";Custom2#"&amp;N381&amp;";Custom3#"&amp;O381&amp;";Custom4#"&amp;P381&amp;"")</f>
        <v>#Invalid Syntax</v>
      </c>
      <c r="E381" s="216">
        <f>SUMIFS('Investment Analysis'!$H$22:$H$69,'Investment Analysis'!$E$22:$E$69,"International Government Obligations",'Investment Analysis'!$AB$22:$AB$69,"4")</f>
        <v>0</v>
      </c>
      <c r="F381" s="217" t="s">
        <v>674</v>
      </c>
      <c r="G381" s="217" t="s">
        <v>1056</v>
      </c>
      <c r="H381" s="218" t="e">
        <f t="shared" si="141"/>
        <v>#N/A</v>
      </c>
      <c r="I381" s="218" t="str">
        <f t="shared" si="141"/>
        <v>Jun</v>
      </c>
      <c r="J381" s="217" t="str">
        <f t="shared" si="141"/>
        <v>FY25</v>
      </c>
      <c r="K381" s="217" t="str">
        <f t="shared" si="141"/>
        <v>FCCS_Other Data</v>
      </c>
      <c r="L381" s="217" t="str">
        <f t="shared" si="141"/>
        <v>FCCS_No Intercompany</v>
      </c>
      <c r="M381" s="217" t="str">
        <f>+M$1</f>
        <v>No Custom1</v>
      </c>
      <c r="N381" s="217" t="str">
        <f t="shared" si="141"/>
        <v>No Custom2</v>
      </c>
      <c r="O381" s="217" t="s">
        <v>63</v>
      </c>
      <c r="P381" s="217" t="s">
        <v>572</v>
      </c>
      <c r="Q381" s="217" t="str">
        <f t="shared" si="142"/>
        <v>FCCS_ClosingBalance_Input</v>
      </c>
      <c r="R381" s="217" t="str">
        <f t="shared" si="143"/>
        <v>Actual</v>
      </c>
      <c r="S381" s="217" t="str">
        <f t="shared" si="143"/>
        <v>FCCS_YTD_Input</v>
      </c>
      <c r="T381" s="217" t="s">
        <v>850</v>
      </c>
    </row>
    <row r="382" spans="2:20" s="371" customFormat="1" x14ac:dyDescent="0.3">
      <c r="B382" s="214" t="s">
        <v>667</v>
      </c>
      <c r="C382" s="215" t="s">
        <v>413</v>
      </c>
      <c r="D382" s="216" t="str">
        <f>[2]!HsSetValue(E382,"FCC","Scenario#"&amp;R382&amp;";Years#"&amp;J382&amp;";Period#"&amp;I382&amp;";View#"&amp;S382&amp;";Entity#"&amp;H382&amp;";Data Source#"&amp;K382&amp;";Account#"&amp;F382&amp;";Intercompany#"&amp;L382&amp;";Movement#"&amp;Q382&amp;";Consolidation#"&amp;T382&amp;";Custom1#"&amp;M382&amp;";Custom2#"&amp;N382&amp;";Custom3#"&amp;O382&amp;";Custom4#"&amp;P382&amp;"")</f>
        <v>#Invalid Syntax</v>
      </c>
      <c r="E382" s="216">
        <f>SUMIFS('Investment Analysis'!$H$22:$H$69,'Investment Analysis'!$E$22:$E$69,"International Government Obligations",'Investment Analysis'!$AB$22:$AB$69,"3")</f>
        <v>0</v>
      </c>
      <c r="F382" s="217" t="s">
        <v>674</v>
      </c>
      <c r="G382" s="217" t="s">
        <v>1056</v>
      </c>
      <c r="H382" s="218" t="e">
        <f t="shared" si="141"/>
        <v>#N/A</v>
      </c>
      <c r="I382" s="218" t="str">
        <f t="shared" si="141"/>
        <v>Jun</v>
      </c>
      <c r="J382" s="217" t="str">
        <f t="shared" si="141"/>
        <v>FY25</v>
      </c>
      <c r="K382" s="217" t="str">
        <f t="shared" si="141"/>
        <v>FCCS_Other Data</v>
      </c>
      <c r="L382" s="217" t="str">
        <f t="shared" si="141"/>
        <v>FCCS_No Intercompany</v>
      </c>
      <c r="M382" s="217" t="str">
        <f>+M$1</f>
        <v>No Custom1</v>
      </c>
      <c r="N382" s="217" t="str">
        <f t="shared" si="141"/>
        <v>No Custom2</v>
      </c>
      <c r="O382" s="217" t="s">
        <v>622</v>
      </c>
      <c r="P382" s="217" t="s">
        <v>572</v>
      </c>
      <c r="Q382" s="217" t="str">
        <f t="shared" si="142"/>
        <v>FCCS_ClosingBalance_Input</v>
      </c>
      <c r="R382" s="217" t="str">
        <f t="shared" si="143"/>
        <v>Actual</v>
      </c>
      <c r="S382" s="217" t="str">
        <f t="shared" si="143"/>
        <v>FCCS_YTD_Input</v>
      </c>
      <c r="T382" s="217" t="s">
        <v>850</v>
      </c>
    </row>
    <row r="383" spans="2:20" s="371" customFormat="1" x14ac:dyDescent="0.3">
      <c r="B383" s="214" t="s">
        <v>667</v>
      </c>
      <c r="C383" s="215" t="s">
        <v>413</v>
      </c>
      <c r="D383" s="216" t="str">
        <f>[2]!HsSetValue(E383,"FCC","Scenario#"&amp;R383&amp;";Years#"&amp;J383&amp;";Period#"&amp;I383&amp;";View#"&amp;S383&amp;";Entity#"&amp;H383&amp;";Data Source#"&amp;K383&amp;";Account#"&amp;F383&amp;";Intercompany#"&amp;L383&amp;";Movement#"&amp;Q383&amp;";Consolidation#"&amp;T383&amp;";Custom1#"&amp;M383&amp;";Custom2#"&amp;N383&amp;";Custom3#"&amp;O383&amp;";Custom4#"&amp;P383&amp;"")</f>
        <v>#Invalid Syntax</v>
      </c>
      <c r="E383" s="216">
        <f>SUMIFS('Investment Analysis'!$H$22:$H$69,'Investment Analysis'!$E$22:$E$69,"International Government Obligations",'Investment Analysis'!$AB$22:$AB$69,"2")</f>
        <v>0</v>
      </c>
      <c r="F383" s="217" t="s">
        <v>674</v>
      </c>
      <c r="G383" s="217" t="s">
        <v>1056</v>
      </c>
      <c r="H383" s="218" t="e">
        <f t="shared" si="141"/>
        <v>#N/A</v>
      </c>
      <c r="I383" s="218" t="str">
        <f t="shared" si="141"/>
        <v>Jun</v>
      </c>
      <c r="J383" s="217" t="str">
        <f t="shared" si="141"/>
        <v>FY25</v>
      </c>
      <c r="K383" s="217" t="str">
        <f t="shared" si="141"/>
        <v>FCCS_Other Data</v>
      </c>
      <c r="L383" s="217" t="str">
        <f t="shared" si="141"/>
        <v>FCCS_No Intercompany</v>
      </c>
      <c r="M383" s="217" t="str">
        <f>+M$1</f>
        <v>No Custom1</v>
      </c>
      <c r="N383" s="217" t="str">
        <f t="shared" si="141"/>
        <v>No Custom2</v>
      </c>
      <c r="O383" s="217" t="s">
        <v>618</v>
      </c>
      <c r="P383" s="217" t="s">
        <v>572</v>
      </c>
      <c r="Q383" s="217" t="str">
        <f t="shared" si="142"/>
        <v>FCCS_ClosingBalance_Input</v>
      </c>
      <c r="R383" s="217" t="str">
        <f t="shared" si="143"/>
        <v>Actual</v>
      </c>
      <c r="S383" s="217" t="str">
        <f t="shared" si="143"/>
        <v>FCCS_YTD_Input</v>
      </c>
      <c r="T383" s="217" t="s">
        <v>850</v>
      </c>
    </row>
    <row r="384" spans="2:20" s="371" customFormat="1" x14ac:dyDescent="0.3">
      <c r="B384" s="214" t="s">
        <v>667</v>
      </c>
      <c r="C384" s="215" t="s">
        <v>413</v>
      </c>
      <c r="D384" s="216" t="str">
        <f>[2]!HsSetValue(E384,"FCC","Scenario#"&amp;R384&amp;";Years#"&amp;J384&amp;";Period#"&amp;I384&amp;";View#"&amp;S384&amp;";Entity#"&amp;H384&amp;";Data Source#"&amp;K384&amp;";Account#"&amp;F384&amp;";Intercompany#"&amp;L384&amp;";Movement#"&amp;Q384&amp;";Consolidation#"&amp;T384&amp;";Custom1#"&amp;M384&amp;";Custom2#"&amp;N384&amp;";Custom3#"&amp;O384&amp;";Custom4#"&amp;P384&amp;"")</f>
        <v>#Invalid Syntax</v>
      </c>
      <c r="E384" s="216">
        <f>SUMIFS('Investment Analysis'!$H$22:$H$69,'Investment Analysis'!$E$22:$E$69,"International Government Obligations",'Investment Analysis'!$AB$22:$AB$69,"1")</f>
        <v>0</v>
      </c>
      <c r="F384" s="217" t="s">
        <v>674</v>
      </c>
      <c r="G384" s="217" t="s">
        <v>1056</v>
      </c>
      <c r="H384" s="218" t="e">
        <f t="shared" si="141"/>
        <v>#N/A</v>
      </c>
      <c r="I384" s="218" t="str">
        <f t="shared" si="141"/>
        <v>Jun</v>
      </c>
      <c r="J384" s="217" t="str">
        <f t="shared" si="141"/>
        <v>FY25</v>
      </c>
      <c r="K384" s="217" t="str">
        <f t="shared" si="141"/>
        <v>FCCS_Other Data</v>
      </c>
      <c r="L384" s="217" t="str">
        <f t="shared" si="141"/>
        <v>FCCS_No Intercompany</v>
      </c>
      <c r="M384" s="217" t="str">
        <f>+M$1</f>
        <v>No Custom1</v>
      </c>
      <c r="N384" s="217" t="str">
        <f t="shared" si="141"/>
        <v>No Custom2</v>
      </c>
      <c r="O384" s="217" t="s">
        <v>64</v>
      </c>
      <c r="P384" s="217" t="s">
        <v>572</v>
      </c>
      <c r="Q384" s="217" t="str">
        <f t="shared" si="142"/>
        <v>FCCS_ClosingBalance_Input</v>
      </c>
      <c r="R384" s="217" t="str">
        <f t="shared" si="143"/>
        <v>Actual</v>
      </c>
      <c r="S384" s="217" t="str">
        <f t="shared" si="143"/>
        <v>FCCS_YTD_Input</v>
      </c>
      <c r="T384" s="217" t="s">
        <v>850</v>
      </c>
    </row>
    <row r="385" spans="2:20" x14ac:dyDescent="0.3">
      <c r="B385" s="214" t="s">
        <v>667</v>
      </c>
      <c r="C385" s="215" t="s">
        <v>413</v>
      </c>
      <c r="D385" s="216" t="str">
        <f>[2]!HsSetValue(E385,"FCC","Scenario#"&amp;R385&amp;";Years#"&amp;J385&amp;";Period#"&amp;I385&amp;";View#"&amp;S385&amp;";Entity#"&amp;H385&amp;";Data Source#"&amp;K385&amp;";Account#"&amp;F385&amp;";Intercompany#"&amp;L385&amp;";Movement#"&amp;Q385&amp;";Consolidation#"&amp;T385&amp;";Custom1#"&amp;M385&amp;";Custom2#"&amp;N385&amp;";Custom3#"&amp;O385&amp;";Custom4#"&amp;P385&amp;"")</f>
        <v>#Invalid Syntax</v>
      </c>
      <c r="E385" s="216">
        <f>SUMIFS('Investment Analysis'!$H$22:$H$69,'Investment Analysis'!$E$22:$E$69,"International Government Obligations",'Investment Analysis'!$AI$22:$AI$69,"16")</f>
        <v>0</v>
      </c>
      <c r="F385" s="217" t="s">
        <v>674</v>
      </c>
      <c r="G385" s="217" t="s">
        <v>1056</v>
      </c>
      <c r="H385" s="218" t="e">
        <f t="shared" si="141"/>
        <v>#N/A</v>
      </c>
      <c r="I385" s="218" t="str">
        <f t="shared" si="141"/>
        <v>Jun</v>
      </c>
      <c r="J385" s="217" t="str">
        <f t="shared" si="141"/>
        <v>FY25</v>
      </c>
      <c r="K385" s="217" t="s">
        <v>843</v>
      </c>
      <c r="L385" s="217" t="s">
        <v>844</v>
      </c>
      <c r="M385" s="217" t="s">
        <v>845</v>
      </c>
      <c r="N385" s="217" t="s">
        <v>846</v>
      </c>
      <c r="O385" s="217" t="s">
        <v>726</v>
      </c>
      <c r="P385" s="217" t="s">
        <v>572</v>
      </c>
      <c r="Q385" s="217" t="str">
        <f t="shared" si="142"/>
        <v>FCCS_ClosingBalance_Input</v>
      </c>
      <c r="R385" s="217" t="s">
        <v>169</v>
      </c>
      <c r="S385" s="217" t="s">
        <v>848</v>
      </c>
      <c r="T385" s="217" t="s">
        <v>850</v>
      </c>
    </row>
    <row r="386" spans="2:20" x14ac:dyDescent="0.3">
      <c r="B386" s="214" t="s">
        <v>667</v>
      </c>
      <c r="C386" s="215" t="s">
        <v>413</v>
      </c>
      <c r="D386" s="216" t="str">
        <f>[2]!HsSetValue(E386,"FCC","Scenario#"&amp;R386&amp;";Years#"&amp;J386&amp;";Period#"&amp;I386&amp;";View#"&amp;S386&amp;";Entity#"&amp;H386&amp;";Data Source#"&amp;K386&amp;";Account#"&amp;F386&amp;";Intercompany#"&amp;L386&amp;";Movement#"&amp;Q386&amp;";Consolidation#"&amp;T386&amp;";Custom1#"&amp;M386&amp;";Custom2#"&amp;N386&amp;";Custom3#"&amp;O386&amp;";Custom4#"&amp;P386&amp;"")</f>
        <v>#Invalid Syntax</v>
      </c>
      <c r="E386" s="216">
        <f>SUMIFS('Investment Analysis'!$H$22:$H$69,'Investment Analysis'!$E$22:$E$69,"International Government Obligations",'Investment Analysis'!$AI$22:$AI$69,"15")</f>
        <v>0</v>
      </c>
      <c r="F386" s="217" t="s">
        <v>674</v>
      </c>
      <c r="G386" s="217" t="s">
        <v>1056</v>
      </c>
      <c r="H386" s="218" t="e">
        <f t="shared" si="141"/>
        <v>#N/A</v>
      </c>
      <c r="I386" s="218" t="str">
        <f t="shared" si="141"/>
        <v>Jun</v>
      </c>
      <c r="J386" s="217" t="str">
        <f t="shared" si="141"/>
        <v>FY25</v>
      </c>
      <c r="K386" s="217" t="s">
        <v>843</v>
      </c>
      <c r="L386" s="217" t="s">
        <v>844</v>
      </c>
      <c r="M386" s="217" t="s">
        <v>845</v>
      </c>
      <c r="N386" s="217" t="s">
        <v>846</v>
      </c>
      <c r="O386" s="217" t="s">
        <v>727</v>
      </c>
      <c r="P386" s="217" t="s">
        <v>572</v>
      </c>
      <c r="Q386" s="217" t="str">
        <f t="shared" si="142"/>
        <v>FCCS_ClosingBalance_Input</v>
      </c>
      <c r="R386" s="217" t="s">
        <v>169</v>
      </c>
      <c r="S386" s="217" t="s">
        <v>848</v>
      </c>
      <c r="T386" s="217" t="s">
        <v>850</v>
      </c>
    </row>
    <row r="387" spans="2:20" x14ac:dyDescent="0.3">
      <c r="B387" s="214" t="s">
        <v>667</v>
      </c>
      <c r="C387" s="215" t="s">
        <v>413</v>
      </c>
      <c r="D387" s="216" t="str">
        <f>[2]!HsSetValue(E387,"FCC","Scenario#"&amp;R387&amp;";Years#"&amp;J387&amp;";Period#"&amp;I387&amp;";View#"&amp;S387&amp;";Entity#"&amp;H387&amp;";Data Source#"&amp;K387&amp;";Account#"&amp;F387&amp;";Intercompany#"&amp;L387&amp;";Movement#"&amp;Q387&amp;";Consolidation#"&amp;T387&amp;";Custom1#"&amp;M387&amp;";Custom2#"&amp;N387&amp;";Custom3#"&amp;O387&amp;";Custom4#"&amp;P387&amp;"")</f>
        <v>#Invalid Syntax</v>
      </c>
      <c r="E387" s="216">
        <f>SUMIFS('Investment Analysis'!$H$22:$H$69,'Investment Analysis'!$E$22:$E$69,"International Government Obligations",'Investment Analysis'!$AI$22:$AI$69,"14")</f>
        <v>0</v>
      </c>
      <c r="F387" s="217" t="s">
        <v>674</v>
      </c>
      <c r="G387" s="217" t="s">
        <v>1056</v>
      </c>
      <c r="H387" s="218" t="e">
        <f t="shared" si="141"/>
        <v>#N/A</v>
      </c>
      <c r="I387" s="218" t="str">
        <f t="shared" si="141"/>
        <v>Jun</v>
      </c>
      <c r="J387" s="217" t="str">
        <f t="shared" si="141"/>
        <v>FY25</v>
      </c>
      <c r="K387" s="217" t="s">
        <v>843</v>
      </c>
      <c r="L387" s="217" t="s">
        <v>844</v>
      </c>
      <c r="M387" s="217" t="s">
        <v>845</v>
      </c>
      <c r="N387" s="217" t="s">
        <v>846</v>
      </c>
      <c r="O387" s="217" t="s">
        <v>728</v>
      </c>
      <c r="P387" s="217" t="s">
        <v>572</v>
      </c>
      <c r="Q387" s="217" t="str">
        <f t="shared" si="142"/>
        <v>FCCS_ClosingBalance_Input</v>
      </c>
      <c r="R387" s="217" t="s">
        <v>169</v>
      </c>
      <c r="S387" s="217" t="s">
        <v>848</v>
      </c>
      <c r="T387" s="217" t="s">
        <v>850</v>
      </c>
    </row>
    <row r="388" spans="2:20" x14ac:dyDescent="0.3">
      <c r="B388" s="214" t="s">
        <v>667</v>
      </c>
      <c r="C388" s="215" t="s">
        <v>413</v>
      </c>
      <c r="D388" s="216" t="str">
        <f>[2]!HsSetValue(E388,"FCC","Scenario#"&amp;R388&amp;";Years#"&amp;J388&amp;";Period#"&amp;I388&amp;";View#"&amp;S388&amp;";Entity#"&amp;H388&amp;";Data Source#"&amp;K388&amp;";Account#"&amp;F388&amp;";Intercompany#"&amp;L388&amp;";Movement#"&amp;Q388&amp;";Consolidation#"&amp;T388&amp;";Custom1#"&amp;M388&amp;";Custom2#"&amp;N388&amp;";Custom3#"&amp;O388&amp;";Custom4#"&amp;P388&amp;"")</f>
        <v>#Invalid Syntax</v>
      </c>
      <c r="E388" s="216">
        <f>SUMIFS('Investment Analysis'!$H$22:$H$69,'Investment Analysis'!$E$22:$E$69,"International Government Obligations",'Investment Analysis'!$AB$22:$AB$69,"0")+SUMIFS('Investment Analysis'!$H$22:$H$69,'Investment Analysis'!$E$22:$E$69,"International Government Obligations",'Investment Analysis'!$AI$22:$AI$69,"0")</f>
        <v>0</v>
      </c>
      <c r="F388" s="217" t="s">
        <v>674</v>
      </c>
      <c r="G388" s="217" t="s">
        <v>1056</v>
      </c>
      <c r="H388" s="218" t="e">
        <f t="shared" si="141"/>
        <v>#N/A</v>
      </c>
      <c r="I388" s="218" t="str">
        <f t="shared" si="141"/>
        <v>Jun</v>
      </c>
      <c r="J388" s="217" t="str">
        <f t="shared" si="141"/>
        <v>FY25</v>
      </c>
      <c r="K388" s="217" t="s">
        <v>843</v>
      </c>
      <c r="L388" s="217" t="s">
        <v>844</v>
      </c>
      <c r="M388" s="217" t="s">
        <v>845</v>
      </c>
      <c r="N388" s="217" t="s">
        <v>846</v>
      </c>
      <c r="O388" s="217" t="s">
        <v>609</v>
      </c>
      <c r="P388" s="217" t="s">
        <v>572</v>
      </c>
      <c r="Q388" s="217" t="str">
        <f t="shared" si="142"/>
        <v>FCCS_ClosingBalance_Input</v>
      </c>
      <c r="R388" s="217" t="s">
        <v>169</v>
      </c>
      <c r="S388" s="217" t="s">
        <v>848</v>
      </c>
      <c r="T388" s="217" t="s">
        <v>850</v>
      </c>
    </row>
    <row r="389" spans="2:20" x14ac:dyDescent="0.3">
      <c r="B389" s="210"/>
      <c r="C389" s="211"/>
      <c r="D389" s="212"/>
      <c r="E389" s="212"/>
    </row>
    <row r="390" spans="2:20" x14ac:dyDescent="0.3">
      <c r="B390" s="219" t="s">
        <v>1014</v>
      </c>
      <c r="C390" s="220" t="s">
        <v>413</v>
      </c>
      <c r="D390" s="221" t="str">
        <f>[2]!HsSetValue(E390,"FCC","Scenario#"&amp;R390&amp;";Years#"&amp;J390&amp;";Period#"&amp;I390&amp;";View#"&amp;S390&amp;";Entity#"&amp;H390&amp;";Data Source#"&amp;K390&amp;";Account#"&amp;F390&amp;";Intercompany#"&amp;L390&amp;";Movement#"&amp;Q390&amp;";Consolidation#"&amp;T390&amp;";Custom1#"&amp;M390&amp;";Custom2#"&amp;N390&amp;";Custom3#"&amp;O390&amp;";Custom4#"&amp;P390&amp;"")</f>
        <v>#Invalid Syntax</v>
      </c>
      <c r="E390" s="221">
        <f>SUMIFS('Investment Analysis'!$H$22:$H$69,'Investment Analysis'!$E$22:$E$69,"International Government Obligations",'Investment Analysis'!$AK$22:$AK$69,"21")</f>
        <v>0</v>
      </c>
      <c r="F390" s="222" t="s">
        <v>675</v>
      </c>
      <c r="G390" s="222" t="s">
        <v>1026</v>
      </c>
      <c r="H390" s="223" t="e">
        <f>+H$2</f>
        <v>#N/A</v>
      </c>
      <c r="I390" s="223" t="str">
        <f t="shared" ref="I390:J400" si="144">+I$2</f>
        <v>Jun</v>
      </c>
      <c r="J390" s="222" t="str">
        <f t="shared" si="144"/>
        <v>FY25</v>
      </c>
      <c r="K390" s="222" t="s">
        <v>843</v>
      </c>
      <c r="L390" s="222" t="s">
        <v>844</v>
      </c>
      <c r="M390" s="222" t="s">
        <v>845</v>
      </c>
      <c r="N390" s="222" t="s">
        <v>846</v>
      </c>
      <c r="O390" s="222" t="s">
        <v>729</v>
      </c>
      <c r="P390" s="222" t="s">
        <v>572</v>
      </c>
      <c r="Q390" s="222" t="str">
        <f t="shared" ref="Q390:Q400" si="145">Q$2</f>
        <v>FCCS_ClosingBalance_Input</v>
      </c>
      <c r="R390" s="222" t="s">
        <v>169</v>
      </c>
      <c r="S390" s="222" t="s">
        <v>848</v>
      </c>
      <c r="T390" s="222" t="s">
        <v>850</v>
      </c>
    </row>
    <row r="391" spans="2:20" x14ac:dyDescent="0.3">
      <c r="B391" s="219" t="s">
        <v>1014</v>
      </c>
      <c r="C391" s="220" t="s">
        <v>413</v>
      </c>
      <c r="D391" s="221" t="str">
        <f>[2]!HsSetValue(E391,"FCC","Scenario#"&amp;R391&amp;";Years#"&amp;J391&amp;";Period#"&amp;I391&amp;";View#"&amp;S391&amp;";Entity#"&amp;H391&amp;";Data Source#"&amp;K391&amp;";Account#"&amp;F391&amp;";Intercompany#"&amp;L391&amp;";Movement#"&amp;Q391&amp;";Consolidation#"&amp;T391&amp;";Custom1#"&amp;M391&amp;";Custom2#"&amp;N391&amp;";Custom3#"&amp;O391&amp;";Custom4#"&amp;P391&amp;"")</f>
        <v>#Invalid Syntax</v>
      </c>
      <c r="E391" s="221">
        <f>SUMIFS('Investment Analysis'!$H$22:$H$69,'Investment Analysis'!$E$22:$E$69,"International Government Obligations",'Investment Analysis'!$AK$22:$AK$69,"22")</f>
        <v>0</v>
      </c>
      <c r="F391" s="222" t="s">
        <v>675</v>
      </c>
      <c r="G391" s="222" t="s">
        <v>1026</v>
      </c>
      <c r="H391" s="223" t="e">
        <f>+H$2</f>
        <v>#N/A</v>
      </c>
      <c r="I391" s="223" t="str">
        <f t="shared" si="144"/>
        <v>Jun</v>
      </c>
      <c r="J391" s="222" t="str">
        <f t="shared" si="144"/>
        <v>FY25</v>
      </c>
      <c r="K391" s="222" t="s">
        <v>843</v>
      </c>
      <c r="L391" s="222" t="s">
        <v>844</v>
      </c>
      <c r="M391" s="222" t="s">
        <v>845</v>
      </c>
      <c r="N391" s="222" t="s">
        <v>846</v>
      </c>
      <c r="O391" s="222" t="s">
        <v>730</v>
      </c>
      <c r="P391" s="222" t="s">
        <v>572</v>
      </c>
      <c r="Q391" s="222" t="str">
        <f t="shared" si="145"/>
        <v>FCCS_ClosingBalance_Input</v>
      </c>
      <c r="R391" s="222" t="s">
        <v>169</v>
      </c>
      <c r="S391" s="222" t="s">
        <v>848</v>
      </c>
      <c r="T391" s="222" t="s">
        <v>850</v>
      </c>
    </row>
    <row r="392" spans="2:20" x14ac:dyDescent="0.3">
      <c r="B392" s="219" t="s">
        <v>1014</v>
      </c>
      <c r="C392" s="220" t="s">
        <v>413</v>
      </c>
      <c r="D392" s="221" t="str">
        <f>[2]!HsSetValue(E392,"FCC","Scenario#"&amp;R392&amp;";Years#"&amp;J392&amp;";Period#"&amp;I392&amp;";View#"&amp;S392&amp;";Entity#"&amp;H392&amp;";Data Source#"&amp;K392&amp;";Account#"&amp;F392&amp;";Intercompany#"&amp;L392&amp;";Movement#"&amp;Q392&amp;";Consolidation#"&amp;T392&amp;";Custom1#"&amp;M392&amp;";Custom2#"&amp;N392&amp;";Custom3#"&amp;O392&amp;";Custom4#"&amp;P392&amp;"")</f>
        <v>#Invalid Syntax</v>
      </c>
      <c r="E392" s="221">
        <f>SUMIFS('Investment Analysis'!$H$22:$H$69,'Investment Analysis'!$E$22:$E$69,"International Government Obligations",'Investment Analysis'!$AK$22:$AK$69,"23")</f>
        <v>0</v>
      </c>
      <c r="F392" s="222" t="s">
        <v>675</v>
      </c>
      <c r="G392" s="222" t="s">
        <v>1026</v>
      </c>
      <c r="H392" s="223" t="e">
        <f>+H$2</f>
        <v>#N/A</v>
      </c>
      <c r="I392" s="223" t="str">
        <f t="shared" si="144"/>
        <v>Jun</v>
      </c>
      <c r="J392" s="222" t="str">
        <f t="shared" si="144"/>
        <v>FY25</v>
      </c>
      <c r="K392" s="222" t="s">
        <v>843</v>
      </c>
      <c r="L392" s="222" t="s">
        <v>844</v>
      </c>
      <c r="M392" s="222" t="s">
        <v>845</v>
      </c>
      <c r="N392" s="222" t="s">
        <v>846</v>
      </c>
      <c r="O392" s="222" t="s">
        <v>731</v>
      </c>
      <c r="P392" s="222" t="s">
        <v>572</v>
      </c>
      <c r="Q392" s="222" t="str">
        <f t="shared" si="145"/>
        <v>FCCS_ClosingBalance_Input</v>
      </c>
      <c r="R392" s="222" t="s">
        <v>169</v>
      </c>
      <c r="S392" s="222" t="s">
        <v>848</v>
      </c>
      <c r="T392" s="222" t="s">
        <v>850</v>
      </c>
    </row>
    <row r="393" spans="2:20" x14ac:dyDescent="0.3">
      <c r="B393" s="219" t="s">
        <v>1014</v>
      </c>
      <c r="C393" s="220" t="s">
        <v>413</v>
      </c>
      <c r="D393" s="221" t="str">
        <f>[2]!HsSetValue(E393,"FCC","Scenario#"&amp;R393&amp;";Years#"&amp;J393&amp;";Period#"&amp;I393&amp;";View#"&amp;S393&amp;";Entity#"&amp;H393&amp;";Data Source#"&amp;K393&amp;";Account#"&amp;F393&amp;";Intercompany#"&amp;L393&amp;";Movement#"&amp;Q393&amp;";Consolidation#"&amp;T393&amp;";Custom1#"&amp;M393&amp;";Custom2#"&amp;N393&amp;";Custom3#"&amp;O393&amp;";Custom4#"&amp;P393&amp;"")</f>
        <v>#Invalid Syntax</v>
      </c>
      <c r="E393" s="221">
        <f>SUMIFS('Investment Analysis'!$H$22:$H$69,'Investment Analysis'!$E$22:$E$69,"International Government Obligations",'Investment Analysis'!$AK$22:$AK$69,"24")</f>
        <v>0</v>
      </c>
      <c r="F393" s="222" t="s">
        <v>675</v>
      </c>
      <c r="G393" s="222" t="s">
        <v>1026</v>
      </c>
      <c r="H393" s="223" t="e">
        <f>+H$2</f>
        <v>#N/A</v>
      </c>
      <c r="I393" s="223" t="str">
        <f t="shared" si="144"/>
        <v>Jun</v>
      </c>
      <c r="J393" s="222" t="str">
        <f t="shared" si="144"/>
        <v>FY25</v>
      </c>
      <c r="K393" s="222" t="s">
        <v>843</v>
      </c>
      <c r="L393" s="222" t="s">
        <v>844</v>
      </c>
      <c r="M393" s="222" t="s">
        <v>845</v>
      </c>
      <c r="N393" s="222" t="s">
        <v>846</v>
      </c>
      <c r="O393" s="222" t="s">
        <v>732</v>
      </c>
      <c r="P393" s="222" t="s">
        <v>572</v>
      </c>
      <c r="Q393" s="222" t="str">
        <f t="shared" si="145"/>
        <v>FCCS_ClosingBalance_Input</v>
      </c>
      <c r="R393" s="222" t="s">
        <v>169</v>
      </c>
      <c r="S393" s="222" t="s">
        <v>848</v>
      </c>
      <c r="T393" s="222" t="s">
        <v>850</v>
      </c>
    </row>
    <row r="394" spans="2:20" x14ac:dyDescent="0.3">
      <c r="B394" s="219" t="s">
        <v>1014</v>
      </c>
      <c r="C394" s="220" t="s">
        <v>413</v>
      </c>
      <c r="D394" s="221" t="str">
        <f>[2]!HsSetValue(E394,"FCC","Scenario#"&amp;R394&amp;";Years#"&amp;J394&amp;";Period#"&amp;I394&amp;";View#"&amp;S394&amp;";Entity#"&amp;H394&amp;";Data Source#"&amp;K394&amp;";Account#"&amp;F394&amp;";Intercompany#"&amp;L394&amp;";Movement#"&amp;Q394&amp;";Consolidation#"&amp;T394&amp;";Custom1#"&amp;M394&amp;";Custom2#"&amp;N394&amp;";Custom3#"&amp;O394&amp;";Custom4#"&amp;P394&amp;"")</f>
        <v>#Invalid Syntax</v>
      </c>
      <c r="E394" s="221">
        <f>SUMIFS('Investment Analysis'!$H$22:$H$69,'Investment Analysis'!$E$22:$E$69,"International Government Obligations",'Investment Analysis'!$AK$22:$AK$69,"25")</f>
        <v>0</v>
      </c>
      <c r="F394" s="222" t="s">
        <v>675</v>
      </c>
      <c r="G394" s="222" t="s">
        <v>1026</v>
      </c>
      <c r="H394" s="223" t="e">
        <f>+H$2</f>
        <v>#N/A</v>
      </c>
      <c r="I394" s="223" t="str">
        <f t="shared" si="144"/>
        <v>Jun</v>
      </c>
      <c r="J394" s="222" t="str">
        <f t="shared" si="144"/>
        <v>FY25</v>
      </c>
      <c r="K394" s="222" t="s">
        <v>843</v>
      </c>
      <c r="L394" s="222" t="s">
        <v>844</v>
      </c>
      <c r="M394" s="222" t="s">
        <v>845</v>
      </c>
      <c r="N394" s="222" t="s">
        <v>846</v>
      </c>
      <c r="O394" s="222" t="s">
        <v>733</v>
      </c>
      <c r="P394" s="222" t="s">
        <v>572</v>
      </c>
      <c r="Q394" s="222" t="str">
        <f t="shared" si="145"/>
        <v>FCCS_ClosingBalance_Input</v>
      </c>
      <c r="R394" s="222" t="s">
        <v>169</v>
      </c>
      <c r="S394" s="222" t="s">
        <v>848</v>
      </c>
      <c r="T394" s="222" t="s">
        <v>850</v>
      </c>
    </row>
    <row r="395" spans="2:20" x14ac:dyDescent="0.3">
      <c r="B395" s="210"/>
      <c r="C395" s="211"/>
      <c r="D395" s="212"/>
      <c r="E395" s="212"/>
    </row>
    <row r="396" spans="2:20" x14ac:dyDescent="0.3">
      <c r="B396" s="364" t="s">
        <v>668</v>
      </c>
      <c r="C396" s="364" t="s">
        <v>871</v>
      </c>
      <c r="D396" s="366" t="str">
        <f>[2]!HsSetValue(E396,"FCC","Scenario#"&amp;R396&amp;";Years#"&amp;J396&amp;";Period#"&amp;I396&amp;";View#"&amp;S396&amp;";Entity#"&amp;H396&amp;";Data Source#"&amp;K396&amp;";Account#"&amp;F396&amp;";Intercompany#"&amp;L396&amp;";Movement#"&amp;Q396&amp;";Consolidation#"&amp;T396&amp;";Custom1#"&amp;M396&amp;";Custom2#"&amp;N396&amp;";Custom3#"&amp;O396&amp;";Custom4#"&amp;P396&amp;"")</f>
        <v>#Invalid Syntax</v>
      </c>
      <c r="E396" s="366">
        <f>SUMIF('Investment Analysis'!$E$22:$E$69,'FCC Investments - Load Tab'!C396,'Investment Analysis'!$K$22:$K$69)</f>
        <v>0</v>
      </c>
      <c r="F396" s="367" t="s">
        <v>673</v>
      </c>
      <c r="G396" s="367" t="str">
        <f>"Inv. Analysis - Interest Rate Risk - "&amp;C396</f>
        <v xml:space="preserve">Inv. Analysis - Interest Rate Risk - General Obligation Bonds                                 </v>
      </c>
      <c r="H396" s="368" t="e">
        <f>+H$2</f>
        <v>#N/A</v>
      </c>
      <c r="I396" s="368" t="str">
        <f t="shared" si="144"/>
        <v>Jun</v>
      </c>
      <c r="J396" s="367" t="str">
        <f>+J$2</f>
        <v>FY25</v>
      </c>
      <c r="K396" s="367" t="s">
        <v>843</v>
      </c>
      <c r="L396" s="367" t="s">
        <v>844</v>
      </c>
      <c r="M396" s="367" t="s">
        <v>845</v>
      </c>
      <c r="N396" s="367" t="s">
        <v>846</v>
      </c>
      <c r="O396" s="367" t="s">
        <v>721</v>
      </c>
      <c r="P396" s="367" t="s">
        <v>875</v>
      </c>
      <c r="Q396" s="367" t="str">
        <f t="shared" si="145"/>
        <v>FCCS_ClosingBalance_Input</v>
      </c>
      <c r="R396" s="367" t="s">
        <v>169</v>
      </c>
      <c r="S396" s="367" t="s">
        <v>848</v>
      </c>
      <c r="T396" s="367" t="s">
        <v>850</v>
      </c>
    </row>
    <row r="397" spans="2:20" x14ac:dyDescent="0.3">
      <c r="B397" s="364" t="s">
        <v>668</v>
      </c>
      <c r="C397" s="364" t="s">
        <v>871</v>
      </c>
      <c r="D397" s="366" t="str">
        <f>[2]!HsSetValue(E397,"FCC","Scenario#"&amp;R397&amp;";Years#"&amp;J397&amp;";Period#"&amp;I397&amp;";View#"&amp;S397&amp;";Entity#"&amp;H397&amp;";Data Source#"&amp;K397&amp;";Account#"&amp;F397&amp;";Intercompany#"&amp;L397&amp;";Movement#"&amp;Q397&amp;";Consolidation#"&amp;T397&amp;";Custom1#"&amp;M397&amp;";Custom2#"&amp;N397&amp;";Custom3#"&amp;O397&amp;";Custom4#"&amp;P397&amp;"")</f>
        <v>#Invalid Syntax</v>
      </c>
      <c r="E397" s="366">
        <f>SUMIF('Investment Analysis'!$E$22:$E$69,'FCC Investments - Load Tab'!C396,'Investment Analysis'!$L$22:$L$69)</f>
        <v>0</v>
      </c>
      <c r="F397" s="367" t="s">
        <v>673</v>
      </c>
      <c r="G397" s="367" t="str">
        <f t="shared" ref="G397:G400" si="146">"Inv. Analysis - Interest Rate Risk - "&amp;C397</f>
        <v xml:space="preserve">Inv. Analysis - Interest Rate Risk - General Obligation Bonds                                 </v>
      </c>
      <c r="H397" s="368" t="e">
        <f>+H$2</f>
        <v>#N/A</v>
      </c>
      <c r="I397" s="368" t="str">
        <f t="shared" si="144"/>
        <v>Jun</v>
      </c>
      <c r="J397" s="367" t="str">
        <f>+J$2</f>
        <v>FY25</v>
      </c>
      <c r="K397" s="367" t="str">
        <f t="shared" ref="K397:N400" si="147">+K$2</f>
        <v>FCCS_Other Data</v>
      </c>
      <c r="L397" s="367" t="str">
        <f t="shared" si="147"/>
        <v>FCCS_No Intercompany</v>
      </c>
      <c r="M397" s="367" t="str">
        <f>+M$1</f>
        <v>No Custom1</v>
      </c>
      <c r="N397" s="367" t="str">
        <f t="shared" si="147"/>
        <v>No Custom2</v>
      </c>
      <c r="O397" s="367" t="s">
        <v>722</v>
      </c>
      <c r="P397" s="367" t="s">
        <v>875</v>
      </c>
      <c r="Q397" s="367" t="str">
        <f t="shared" si="145"/>
        <v>FCCS_ClosingBalance_Input</v>
      </c>
      <c r="R397" s="367" t="str">
        <f t="shared" ref="R397:S400" si="148">+R$2</f>
        <v>Actual</v>
      </c>
      <c r="S397" s="367" t="str">
        <f t="shared" si="148"/>
        <v>FCCS_YTD_Input</v>
      </c>
      <c r="T397" s="367" t="s">
        <v>850</v>
      </c>
    </row>
    <row r="398" spans="2:20" x14ac:dyDescent="0.3">
      <c r="B398" s="364" t="s">
        <v>668</v>
      </c>
      <c r="C398" s="364" t="s">
        <v>871</v>
      </c>
      <c r="D398" s="366" t="str">
        <f>[2]!HsSetValue(E398,"FCC","Scenario#"&amp;R398&amp;";Years#"&amp;J398&amp;";Period#"&amp;I398&amp;";View#"&amp;S398&amp;";Entity#"&amp;H398&amp;";Data Source#"&amp;K398&amp;";Account#"&amp;F398&amp;";Intercompany#"&amp;L398&amp;";Movement#"&amp;Q398&amp;";Consolidation#"&amp;T398&amp;";Custom1#"&amp;M398&amp;";Custom2#"&amp;N398&amp;";Custom3#"&amp;O398&amp;";Custom4#"&amp;P398&amp;"")</f>
        <v>#Invalid Syntax</v>
      </c>
      <c r="E398" s="366">
        <f>SUMIF('Investment Analysis'!$E$22:$E$69,'FCC Investments - Load Tab'!C396,'Investment Analysis'!$M$22:$M$69)</f>
        <v>0</v>
      </c>
      <c r="F398" s="367" t="s">
        <v>673</v>
      </c>
      <c r="G398" s="367" t="str">
        <f t="shared" si="146"/>
        <v xml:space="preserve">Inv. Analysis - Interest Rate Risk - General Obligation Bonds                                 </v>
      </c>
      <c r="H398" s="368" t="e">
        <f>+H$2</f>
        <v>#N/A</v>
      </c>
      <c r="I398" s="368" t="str">
        <f t="shared" si="144"/>
        <v>Jun</v>
      </c>
      <c r="J398" s="367" t="str">
        <f>+J$2</f>
        <v>FY25</v>
      </c>
      <c r="K398" s="367" t="str">
        <f t="shared" si="147"/>
        <v>FCCS_Other Data</v>
      </c>
      <c r="L398" s="367" t="str">
        <f t="shared" si="147"/>
        <v>FCCS_No Intercompany</v>
      </c>
      <c r="M398" s="367" t="str">
        <f>+M$1</f>
        <v>No Custom1</v>
      </c>
      <c r="N398" s="367" t="str">
        <f t="shared" si="147"/>
        <v>No Custom2</v>
      </c>
      <c r="O398" s="367" t="s">
        <v>723</v>
      </c>
      <c r="P398" s="367" t="s">
        <v>875</v>
      </c>
      <c r="Q398" s="367" t="str">
        <f t="shared" si="145"/>
        <v>FCCS_ClosingBalance_Input</v>
      </c>
      <c r="R398" s="367" t="str">
        <f t="shared" si="148"/>
        <v>Actual</v>
      </c>
      <c r="S398" s="367" t="str">
        <f t="shared" si="148"/>
        <v>FCCS_YTD_Input</v>
      </c>
      <c r="T398" s="367" t="s">
        <v>850</v>
      </c>
    </row>
    <row r="399" spans="2:20" x14ac:dyDescent="0.3">
      <c r="B399" s="364" t="s">
        <v>668</v>
      </c>
      <c r="C399" s="364" t="s">
        <v>871</v>
      </c>
      <c r="D399" s="366" t="str">
        <f>[2]!HsSetValue(E399,"FCC","Scenario#"&amp;R399&amp;";Years#"&amp;J399&amp;";Period#"&amp;I399&amp;";View#"&amp;S399&amp;";Entity#"&amp;H399&amp;";Data Source#"&amp;K399&amp;";Account#"&amp;F399&amp;";Intercompany#"&amp;L399&amp;";Movement#"&amp;Q399&amp;";Consolidation#"&amp;T399&amp;";Custom1#"&amp;M399&amp;";Custom2#"&amp;N399&amp;";Custom3#"&amp;O399&amp;";Custom4#"&amp;P399&amp;"")</f>
        <v>#Invalid Syntax</v>
      </c>
      <c r="E399" s="366">
        <f>SUMIF('Investment Analysis'!$E$22:$E$69,'FCC Investments - Load Tab'!C399,'Investment Analysis'!$N$22:$N$69)</f>
        <v>0</v>
      </c>
      <c r="F399" s="367" t="s">
        <v>673</v>
      </c>
      <c r="G399" s="367" t="str">
        <f t="shared" si="146"/>
        <v xml:space="preserve">Inv. Analysis - Interest Rate Risk - General Obligation Bonds                                 </v>
      </c>
      <c r="H399" s="368" t="e">
        <f>+H$2</f>
        <v>#N/A</v>
      </c>
      <c r="I399" s="368" t="str">
        <f t="shared" si="144"/>
        <v>Jun</v>
      </c>
      <c r="J399" s="367" t="str">
        <f>+J$2</f>
        <v>FY25</v>
      </c>
      <c r="K399" s="367" t="str">
        <f t="shared" si="147"/>
        <v>FCCS_Other Data</v>
      </c>
      <c r="L399" s="367" t="str">
        <f t="shared" si="147"/>
        <v>FCCS_No Intercompany</v>
      </c>
      <c r="M399" s="367" t="str">
        <f>+M$1</f>
        <v>No Custom1</v>
      </c>
      <c r="N399" s="367" t="str">
        <f t="shared" si="147"/>
        <v>No Custom2</v>
      </c>
      <c r="O399" s="367" t="s">
        <v>724</v>
      </c>
      <c r="P399" s="367" t="s">
        <v>875</v>
      </c>
      <c r="Q399" s="367" t="str">
        <f t="shared" si="145"/>
        <v>FCCS_ClosingBalance_Input</v>
      </c>
      <c r="R399" s="367" t="str">
        <f t="shared" si="148"/>
        <v>Actual</v>
      </c>
      <c r="S399" s="367" t="str">
        <f t="shared" si="148"/>
        <v>FCCS_YTD_Input</v>
      </c>
      <c r="T399" s="367" t="s">
        <v>850</v>
      </c>
    </row>
    <row r="400" spans="2:20" x14ac:dyDescent="0.3">
      <c r="B400" s="364" t="s">
        <v>668</v>
      </c>
      <c r="C400" s="364" t="s">
        <v>871</v>
      </c>
      <c r="D400" s="366" t="str">
        <f>[2]!HsSetValue(E400,"FCC","Scenario#"&amp;R400&amp;";Years#"&amp;J400&amp;";Period#"&amp;I400&amp;";View#"&amp;S400&amp;";Entity#"&amp;H400&amp;";Data Source#"&amp;K400&amp;";Account#"&amp;F400&amp;";Intercompany#"&amp;L400&amp;";Movement#"&amp;Q400&amp;";Consolidation#"&amp;T400&amp;";Custom1#"&amp;M400&amp;";Custom2#"&amp;N400&amp;";Custom3#"&amp;O400&amp;";Custom4#"&amp;P400&amp;"")</f>
        <v>#Invalid Syntax</v>
      </c>
      <c r="E400" s="366">
        <f>SUMIF('Investment Analysis'!$E$2:$E$69,'FCC Investments - Load Tab'!C400,'Investment Analysis'!$O$2:$O$69)</f>
        <v>0</v>
      </c>
      <c r="F400" s="367" t="s">
        <v>673</v>
      </c>
      <c r="G400" s="367" t="str">
        <f t="shared" si="146"/>
        <v xml:space="preserve">Inv. Analysis - Interest Rate Risk - General Obligation Bonds                                 </v>
      </c>
      <c r="H400" s="368" t="e">
        <f>+H$2</f>
        <v>#N/A</v>
      </c>
      <c r="I400" s="368" t="str">
        <f t="shared" si="144"/>
        <v>Jun</v>
      </c>
      <c r="J400" s="367" t="str">
        <f>+J$2</f>
        <v>FY25</v>
      </c>
      <c r="K400" s="367" t="str">
        <f t="shared" si="147"/>
        <v>FCCS_Other Data</v>
      </c>
      <c r="L400" s="367" t="str">
        <f t="shared" si="147"/>
        <v>FCCS_No Intercompany</v>
      </c>
      <c r="M400" s="367" t="str">
        <f>+M$1</f>
        <v>No Custom1</v>
      </c>
      <c r="N400" s="367" t="str">
        <f t="shared" si="147"/>
        <v>No Custom2</v>
      </c>
      <c r="O400" s="367" t="s">
        <v>725</v>
      </c>
      <c r="P400" s="367" t="s">
        <v>875</v>
      </c>
      <c r="Q400" s="367" t="str">
        <f t="shared" si="145"/>
        <v>FCCS_ClosingBalance_Input</v>
      </c>
      <c r="R400" s="367" t="str">
        <f t="shared" si="148"/>
        <v>Actual</v>
      </c>
      <c r="S400" s="367" t="str">
        <f t="shared" si="148"/>
        <v>FCCS_YTD_Input</v>
      </c>
      <c r="T400" s="367" t="s">
        <v>850</v>
      </c>
    </row>
    <row r="402" spans="2:20" x14ac:dyDescent="0.3">
      <c r="B402" s="214" t="s">
        <v>667</v>
      </c>
      <c r="C402" s="214" t="s">
        <v>952</v>
      </c>
      <c r="D402" s="216" t="str">
        <f>[2]!HsSetValue(E402,"FCC","Scenario#"&amp;R402&amp;";Years#"&amp;J402&amp;";Period#"&amp;I402&amp;";View#"&amp;S402&amp;";Entity#"&amp;H402&amp;";Data Source#"&amp;K402&amp;";Account#"&amp;F402&amp;";Intercompany#"&amp;L402&amp;";Movement#"&amp;Q402&amp;";Consolidation#"&amp;T402&amp;";Custom1#"&amp;M402&amp;";Custom2#"&amp;N402&amp;";Custom3#"&amp;O402&amp;";Custom4#"&amp;P402&amp;"")</f>
        <v>#Invalid Syntax</v>
      </c>
      <c r="E402" s="216">
        <f>SUMIFS('Investment Analysis'!$H$22:$H$69,'Investment Analysis'!$E$22:$E$69,"General Obligation Bonds",'Investment Analysis'!$AB$22:$AB$69,"10")</f>
        <v>0</v>
      </c>
      <c r="F402" s="217" t="s">
        <v>674</v>
      </c>
      <c r="G402" s="217" t="str">
        <f t="shared" ref="G402:G415" si="149">"Inv. Analysis - Credit Quality Risk - "&amp;C402</f>
        <v xml:space="preserve">Inv. Analysis - Credit Quality Risk - General Obligation Bonds                         </v>
      </c>
      <c r="H402" s="218" t="e">
        <f t="shared" ref="H402:N415" si="150">+H$2</f>
        <v>#N/A</v>
      </c>
      <c r="I402" s="218" t="str">
        <f t="shared" si="150"/>
        <v>Jun</v>
      </c>
      <c r="J402" s="217" t="str">
        <f t="shared" si="150"/>
        <v>FY25</v>
      </c>
      <c r="K402" s="217" t="str">
        <f t="shared" si="150"/>
        <v>FCCS_Other Data</v>
      </c>
      <c r="L402" s="217" t="str">
        <f t="shared" si="150"/>
        <v>FCCS_No Intercompany</v>
      </c>
      <c r="M402" s="217" t="str">
        <f t="shared" ref="M402:M415" si="151">+M$1</f>
        <v>No Custom1</v>
      </c>
      <c r="N402" s="217" t="str">
        <f t="shared" si="150"/>
        <v>No Custom2</v>
      </c>
      <c r="O402" s="217" t="s">
        <v>433</v>
      </c>
      <c r="P402" s="217" t="s">
        <v>875</v>
      </c>
      <c r="Q402" s="217" t="str">
        <f t="shared" ref="Q402:Q415" si="152">Q$2</f>
        <v>FCCS_ClosingBalance_Input</v>
      </c>
      <c r="R402" s="217" t="str">
        <f t="shared" ref="R402:S415" si="153">+R$2</f>
        <v>Actual</v>
      </c>
      <c r="S402" s="217" t="str">
        <f t="shared" si="153"/>
        <v>FCCS_YTD_Input</v>
      </c>
      <c r="T402" s="217" t="s">
        <v>850</v>
      </c>
    </row>
    <row r="403" spans="2:20" x14ac:dyDescent="0.3">
      <c r="B403" s="214" t="s">
        <v>667</v>
      </c>
      <c r="C403" s="214" t="s">
        <v>953</v>
      </c>
      <c r="D403" s="216" t="str">
        <f>[2]!HsSetValue(E403,"FCC","Scenario#"&amp;R403&amp;";Years#"&amp;J403&amp;";Period#"&amp;I403&amp;";View#"&amp;S403&amp;";Entity#"&amp;H403&amp;";Data Source#"&amp;K403&amp;";Account#"&amp;F403&amp;";Intercompany#"&amp;L403&amp;";Movement#"&amp;Q403&amp;";Consolidation#"&amp;T403&amp;";Custom1#"&amp;M403&amp;";Custom2#"&amp;N403&amp;";Custom3#"&amp;O403&amp;";Custom4#"&amp;P403&amp;"")</f>
        <v>#Invalid Syntax</v>
      </c>
      <c r="E403" s="216">
        <f>SUMIFS('Investment Analysis'!$H$22:$H$69,'Investment Analysis'!$E$22:$E$69,"General Obligation Bonds",'Investment Analysis'!$AB$22:$AB$69,"9")</f>
        <v>0</v>
      </c>
      <c r="F403" s="217" t="s">
        <v>674</v>
      </c>
      <c r="G403" s="217" t="str">
        <f t="shared" si="149"/>
        <v xml:space="preserve">Inv. Analysis - Credit Quality Risk - General Obligation Bonds             </v>
      </c>
      <c r="H403" s="218" t="e">
        <f t="shared" si="150"/>
        <v>#N/A</v>
      </c>
      <c r="I403" s="218" t="str">
        <f t="shared" si="150"/>
        <v>Jun</v>
      </c>
      <c r="J403" s="217" t="str">
        <f t="shared" si="150"/>
        <v>FY25</v>
      </c>
      <c r="K403" s="217" t="str">
        <f t="shared" si="150"/>
        <v>FCCS_Other Data</v>
      </c>
      <c r="L403" s="217" t="str">
        <f t="shared" si="150"/>
        <v>FCCS_No Intercompany</v>
      </c>
      <c r="M403" s="217" t="str">
        <f t="shared" si="151"/>
        <v>No Custom1</v>
      </c>
      <c r="N403" s="217" t="str">
        <f t="shared" si="150"/>
        <v>No Custom2</v>
      </c>
      <c r="O403" s="217" t="s">
        <v>596</v>
      </c>
      <c r="P403" s="217" t="s">
        <v>875</v>
      </c>
      <c r="Q403" s="217" t="str">
        <f t="shared" si="152"/>
        <v>FCCS_ClosingBalance_Input</v>
      </c>
      <c r="R403" s="217" t="str">
        <f t="shared" si="153"/>
        <v>Actual</v>
      </c>
      <c r="S403" s="217" t="str">
        <f t="shared" si="153"/>
        <v>FCCS_YTD_Input</v>
      </c>
      <c r="T403" s="217" t="s">
        <v>850</v>
      </c>
    </row>
    <row r="404" spans="2:20" x14ac:dyDescent="0.3">
      <c r="B404" s="214" t="s">
        <v>667</v>
      </c>
      <c r="C404" s="214" t="s">
        <v>871</v>
      </c>
      <c r="D404" s="216" t="str">
        <f>[2]!HsSetValue(E404,"FCC","Scenario#"&amp;R404&amp;";Years#"&amp;J404&amp;";Period#"&amp;I404&amp;";View#"&amp;S404&amp;";Entity#"&amp;H404&amp;";Data Source#"&amp;K404&amp;";Account#"&amp;F404&amp;";Intercompany#"&amp;L404&amp;";Movement#"&amp;Q404&amp;";Consolidation#"&amp;T404&amp;";Custom1#"&amp;M404&amp;";Custom2#"&amp;N404&amp;";Custom3#"&amp;O404&amp;";Custom4#"&amp;P404&amp;"")</f>
        <v>#Invalid Syntax</v>
      </c>
      <c r="E404" s="216">
        <f>SUMIFS('Investment Analysis'!$H$22:$H$69,'Investment Analysis'!$E$22:$E$69,"General Obligation Bonds",'Investment Analysis'!$AB$22:$AB$69,"8")</f>
        <v>0</v>
      </c>
      <c r="F404" s="217" t="s">
        <v>674</v>
      </c>
      <c r="G404" s="217" t="str">
        <f t="shared" si="149"/>
        <v xml:space="preserve">Inv. Analysis - Credit Quality Risk - General Obligation Bonds                                 </v>
      </c>
      <c r="H404" s="218" t="e">
        <f t="shared" si="150"/>
        <v>#N/A</v>
      </c>
      <c r="I404" s="218" t="str">
        <f t="shared" si="150"/>
        <v>Jun</v>
      </c>
      <c r="J404" s="217" t="str">
        <f t="shared" si="150"/>
        <v>FY25</v>
      </c>
      <c r="K404" s="217" t="str">
        <f t="shared" si="150"/>
        <v>FCCS_Other Data</v>
      </c>
      <c r="L404" s="217" t="str">
        <f t="shared" si="150"/>
        <v>FCCS_No Intercompany</v>
      </c>
      <c r="M404" s="217" t="str">
        <f t="shared" si="151"/>
        <v>No Custom1</v>
      </c>
      <c r="N404" s="217" t="str">
        <f t="shared" si="150"/>
        <v>No Custom2</v>
      </c>
      <c r="O404" s="217" t="s">
        <v>61</v>
      </c>
      <c r="P404" s="217" t="s">
        <v>875</v>
      </c>
      <c r="Q404" s="217" t="str">
        <f t="shared" si="152"/>
        <v>FCCS_ClosingBalance_Input</v>
      </c>
      <c r="R404" s="217" t="str">
        <f t="shared" si="153"/>
        <v>Actual</v>
      </c>
      <c r="S404" s="217" t="str">
        <f t="shared" si="153"/>
        <v>FCCS_YTD_Input</v>
      </c>
      <c r="T404" s="217" t="s">
        <v>850</v>
      </c>
    </row>
    <row r="405" spans="2:20" x14ac:dyDescent="0.3">
      <c r="B405" s="214" t="s">
        <v>667</v>
      </c>
      <c r="C405" s="214" t="s">
        <v>871</v>
      </c>
      <c r="D405" s="216" t="str">
        <f>[2]!HsSetValue(E405,"FCC","Scenario#"&amp;R405&amp;";Years#"&amp;J405&amp;";Period#"&amp;I405&amp;";View#"&amp;S405&amp;";Entity#"&amp;H405&amp;";Data Source#"&amp;K405&amp;";Account#"&amp;F405&amp;";Intercompany#"&amp;L405&amp;";Movement#"&amp;Q405&amp;";Consolidation#"&amp;T405&amp;";Custom1#"&amp;M405&amp;";Custom2#"&amp;N405&amp;";Custom3#"&amp;O405&amp;";Custom4#"&amp;P405&amp;"")</f>
        <v>#Invalid Syntax</v>
      </c>
      <c r="E405" s="216">
        <f>SUMIFS('Investment Analysis'!$H$22:$H$69,'Investment Analysis'!$E$22:$E$69,"General Obligation Bonds",'Investment Analysis'!$AB$22:$AB$69,"7")</f>
        <v>0</v>
      </c>
      <c r="F405" s="217" t="s">
        <v>674</v>
      </c>
      <c r="G405" s="217" t="str">
        <f t="shared" si="149"/>
        <v xml:space="preserve">Inv. Analysis - Credit Quality Risk - General Obligation Bonds                                 </v>
      </c>
      <c r="H405" s="218" t="e">
        <f t="shared" si="150"/>
        <v>#N/A</v>
      </c>
      <c r="I405" s="218" t="str">
        <f t="shared" si="150"/>
        <v>Jun</v>
      </c>
      <c r="J405" s="217" t="str">
        <f t="shared" si="150"/>
        <v>FY25</v>
      </c>
      <c r="K405" s="217" t="str">
        <f t="shared" si="150"/>
        <v>FCCS_Other Data</v>
      </c>
      <c r="L405" s="217" t="str">
        <f t="shared" si="150"/>
        <v>FCCS_No Intercompany</v>
      </c>
      <c r="M405" s="217" t="str">
        <f t="shared" si="151"/>
        <v>No Custom1</v>
      </c>
      <c r="N405" s="217" t="str">
        <f t="shared" si="150"/>
        <v>No Custom2</v>
      </c>
      <c r="O405" s="217" t="s">
        <v>62</v>
      </c>
      <c r="P405" s="217" t="s">
        <v>875</v>
      </c>
      <c r="Q405" s="217" t="str">
        <f t="shared" si="152"/>
        <v>FCCS_ClosingBalance_Input</v>
      </c>
      <c r="R405" s="217" t="str">
        <f t="shared" si="153"/>
        <v>Actual</v>
      </c>
      <c r="S405" s="217" t="str">
        <f t="shared" si="153"/>
        <v>FCCS_YTD_Input</v>
      </c>
      <c r="T405" s="217" t="s">
        <v>850</v>
      </c>
    </row>
    <row r="406" spans="2:20" x14ac:dyDescent="0.3">
      <c r="B406" s="214" t="s">
        <v>667</v>
      </c>
      <c r="C406" s="214" t="s">
        <v>871</v>
      </c>
      <c r="D406" s="216" t="str">
        <f>[2]!HsSetValue(E406,"FCC","Scenario#"&amp;R406&amp;";Years#"&amp;J406&amp;";Period#"&amp;I406&amp;";View#"&amp;S406&amp;";Entity#"&amp;H406&amp;";Data Source#"&amp;K406&amp;";Account#"&amp;F406&amp;";Intercompany#"&amp;L406&amp;";Movement#"&amp;Q406&amp;";Consolidation#"&amp;T406&amp;";Custom1#"&amp;M406&amp;";Custom2#"&amp;N406&amp;";Custom3#"&amp;O406&amp;";Custom4#"&amp;P406&amp;"")</f>
        <v>#Invalid Syntax</v>
      </c>
      <c r="E406" s="216">
        <f>SUMIFS('Investment Analysis'!$H$22:$H$69,'Investment Analysis'!$E$22:$E$69,"General Obligation Bonds",'Investment Analysis'!$AB$22:$AB$69,"6")</f>
        <v>0</v>
      </c>
      <c r="F406" s="217" t="s">
        <v>674</v>
      </c>
      <c r="G406" s="217" t="str">
        <f t="shared" si="149"/>
        <v xml:space="preserve">Inv. Analysis - Credit Quality Risk - General Obligation Bonds                                 </v>
      </c>
      <c r="H406" s="218" t="e">
        <f t="shared" si="150"/>
        <v>#N/A</v>
      </c>
      <c r="I406" s="218" t="str">
        <f t="shared" si="150"/>
        <v>Jun</v>
      </c>
      <c r="J406" s="217" t="str">
        <f t="shared" si="150"/>
        <v>FY25</v>
      </c>
      <c r="K406" s="217" t="str">
        <f t="shared" si="150"/>
        <v>FCCS_Other Data</v>
      </c>
      <c r="L406" s="217" t="str">
        <f t="shared" si="150"/>
        <v>FCCS_No Intercompany</v>
      </c>
      <c r="M406" s="217" t="str">
        <f t="shared" si="151"/>
        <v>No Custom1</v>
      </c>
      <c r="N406" s="217" t="str">
        <f t="shared" si="150"/>
        <v>No Custom2</v>
      </c>
      <c r="O406" s="217" t="s">
        <v>436</v>
      </c>
      <c r="P406" s="217" t="s">
        <v>875</v>
      </c>
      <c r="Q406" s="217" t="str">
        <f t="shared" si="152"/>
        <v>FCCS_ClosingBalance_Input</v>
      </c>
      <c r="R406" s="217" t="str">
        <f t="shared" si="153"/>
        <v>Actual</v>
      </c>
      <c r="S406" s="217" t="str">
        <f t="shared" si="153"/>
        <v>FCCS_YTD_Input</v>
      </c>
      <c r="T406" s="217" t="s">
        <v>850</v>
      </c>
    </row>
    <row r="407" spans="2:20" s="371" customFormat="1" x14ac:dyDescent="0.3">
      <c r="B407" s="214" t="s">
        <v>667</v>
      </c>
      <c r="C407" s="214" t="s">
        <v>871</v>
      </c>
      <c r="D407" s="216" t="str">
        <f>[2]!HsSetValue(E407,"FCC","Scenario#"&amp;R407&amp;";Years#"&amp;J407&amp;";Period#"&amp;I407&amp;";View#"&amp;S407&amp;";Entity#"&amp;H407&amp;";Data Source#"&amp;K407&amp;";Account#"&amp;F407&amp;";Intercompany#"&amp;L407&amp;";Movement#"&amp;Q407&amp;";Consolidation#"&amp;T407&amp;";Custom1#"&amp;M407&amp;";Custom2#"&amp;N407&amp;";Custom3#"&amp;O407&amp;";Custom4#"&amp;P407&amp;"")</f>
        <v>#Invalid Syntax</v>
      </c>
      <c r="E407" s="216">
        <f>SUMIFS('Investment Analysis'!$H$22:$H$69,'Investment Analysis'!$E$22:$E$69,"General Obligation Bonds",'Investment Analysis'!$AB$22:$AB$69,"5")</f>
        <v>0</v>
      </c>
      <c r="F407" s="217" t="s">
        <v>674</v>
      </c>
      <c r="G407" s="217" t="str">
        <f t="shared" si="149"/>
        <v xml:space="preserve">Inv. Analysis - Credit Quality Risk - General Obligation Bonds                                 </v>
      </c>
      <c r="H407" s="218" t="e">
        <f t="shared" si="150"/>
        <v>#N/A</v>
      </c>
      <c r="I407" s="218" t="str">
        <f t="shared" si="150"/>
        <v>Jun</v>
      </c>
      <c r="J407" s="217" t="str">
        <f t="shared" si="150"/>
        <v>FY25</v>
      </c>
      <c r="K407" s="217" t="str">
        <f t="shared" si="150"/>
        <v>FCCS_Other Data</v>
      </c>
      <c r="L407" s="217" t="str">
        <f t="shared" si="150"/>
        <v>FCCS_No Intercompany</v>
      </c>
      <c r="M407" s="217" t="str">
        <f t="shared" si="151"/>
        <v>No Custom1</v>
      </c>
      <c r="N407" s="217" t="str">
        <f t="shared" si="150"/>
        <v>No Custom2</v>
      </c>
      <c r="O407" s="217" t="s">
        <v>434</v>
      </c>
      <c r="P407" s="217" t="s">
        <v>875</v>
      </c>
      <c r="Q407" s="217" t="str">
        <f t="shared" si="152"/>
        <v>FCCS_ClosingBalance_Input</v>
      </c>
      <c r="R407" s="217" t="str">
        <f t="shared" si="153"/>
        <v>Actual</v>
      </c>
      <c r="S407" s="217" t="str">
        <f t="shared" si="153"/>
        <v>FCCS_YTD_Input</v>
      </c>
      <c r="T407" s="217" t="s">
        <v>850</v>
      </c>
    </row>
    <row r="408" spans="2:20" s="371" customFormat="1" x14ac:dyDescent="0.3">
      <c r="B408" s="214" t="s">
        <v>667</v>
      </c>
      <c r="C408" s="214" t="s">
        <v>871</v>
      </c>
      <c r="D408" s="216" t="str">
        <f>[2]!HsSetValue(E408,"FCC","Scenario#"&amp;R408&amp;";Years#"&amp;J408&amp;";Period#"&amp;I408&amp;";View#"&amp;S408&amp;";Entity#"&amp;H408&amp;";Data Source#"&amp;K408&amp;";Account#"&amp;F408&amp;";Intercompany#"&amp;L408&amp;";Movement#"&amp;Q408&amp;";Consolidation#"&amp;T408&amp;";Custom1#"&amp;M408&amp;";Custom2#"&amp;N408&amp;";Custom3#"&amp;O408&amp;";Custom4#"&amp;P408&amp;"")</f>
        <v>#Invalid Syntax</v>
      </c>
      <c r="E408" s="216">
        <f>SUMIFS('Investment Analysis'!$H$22:$H$69,'Investment Analysis'!$E$22:$E$69,"General Obligation Bonds",'Investment Analysis'!$AB$22:$AB$69,"4")</f>
        <v>0</v>
      </c>
      <c r="F408" s="217" t="s">
        <v>674</v>
      </c>
      <c r="G408" s="217" t="str">
        <f t="shared" si="149"/>
        <v xml:space="preserve">Inv. Analysis - Credit Quality Risk - General Obligation Bonds                                 </v>
      </c>
      <c r="H408" s="218" t="e">
        <f t="shared" si="150"/>
        <v>#N/A</v>
      </c>
      <c r="I408" s="218" t="str">
        <f t="shared" si="150"/>
        <v>Jun</v>
      </c>
      <c r="J408" s="217" t="str">
        <f t="shared" si="150"/>
        <v>FY25</v>
      </c>
      <c r="K408" s="217" t="str">
        <f t="shared" si="150"/>
        <v>FCCS_Other Data</v>
      </c>
      <c r="L408" s="217" t="str">
        <f t="shared" si="150"/>
        <v>FCCS_No Intercompany</v>
      </c>
      <c r="M408" s="217" t="str">
        <f t="shared" si="151"/>
        <v>No Custom1</v>
      </c>
      <c r="N408" s="217" t="str">
        <f t="shared" si="150"/>
        <v>No Custom2</v>
      </c>
      <c r="O408" s="217" t="s">
        <v>63</v>
      </c>
      <c r="P408" s="217" t="s">
        <v>875</v>
      </c>
      <c r="Q408" s="217" t="str">
        <f t="shared" si="152"/>
        <v>FCCS_ClosingBalance_Input</v>
      </c>
      <c r="R408" s="217" t="str">
        <f t="shared" si="153"/>
        <v>Actual</v>
      </c>
      <c r="S408" s="217" t="str">
        <f t="shared" si="153"/>
        <v>FCCS_YTD_Input</v>
      </c>
      <c r="T408" s="217" t="s">
        <v>850</v>
      </c>
    </row>
    <row r="409" spans="2:20" s="371" customFormat="1" x14ac:dyDescent="0.3">
      <c r="B409" s="214" t="s">
        <v>667</v>
      </c>
      <c r="C409" s="214" t="s">
        <v>871</v>
      </c>
      <c r="D409" s="216" t="str">
        <f>[2]!HsSetValue(E409,"FCC","Scenario#"&amp;R409&amp;";Years#"&amp;J409&amp;";Period#"&amp;I409&amp;";View#"&amp;S409&amp;";Entity#"&amp;H409&amp;";Data Source#"&amp;K409&amp;";Account#"&amp;F409&amp;";Intercompany#"&amp;L409&amp;";Movement#"&amp;Q409&amp;";Consolidation#"&amp;T409&amp;";Custom1#"&amp;M409&amp;";Custom2#"&amp;N409&amp;";Custom3#"&amp;O409&amp;";Custom4#"&amp;P409&amp;"")</f>
        <v>#Invalid Syntax</v>
      </c>
      <c r="E409" s="216">
        <f>SUMIFS('Investment Analysis'!$H$22:$H$69,'Investment Analysis'!$E$22:$E$69,"General Obligation Bonds",'Investment Analysis'!$AB$22:$AB$69,"3")</f>
        <v>0</v>
      </c>
      <c r="F409" s="217" t="s">
        <v>674</v>
      </c>
      <c r="G409" s="217" t="str">
        <f t="shared" si="149"/>
        <v xml:space="preserve">Inv. Analysis - Credit Quality Risk - General Obligation Bonds                                 </v>
      </c>
      <c r="H409" s="218" t="e">
        <f t="shared" si="150"/>
        <v>#N/A</v>
      </c>
      <c r="I409" s="218" t="str">
        <f t="shared" si="150"/>
        <v>Jun</v>
      </c>
      <c r="J409" s="217" t="str">
        <f t="shared" si="150"/>
        <v>FY25</v>
      </c>
      <c r="K409" s="217" t="str">
        <f t="shared" si="150"/>
        <v>FCCS_Other Data</v>
      </c>
      <c r="L409" s="217" t="str">
        <f t="shared" si="150"/>
        <v>FCCS_No Intercompany</v>
      </c>
      <c r="M409" s="217" t="str">
        <f t="shared" si="151"/>
        <v>No Custom1</v>
      </c>
      <c r="N409" s="217" t="str">
        <f t="shared" si="150"/>
        <v>No Custom2</v>
      </c>
      <c r="O409" s="217" t="s">
        <v>622</v>
      </c>
      <c r="P409" s="217" t="s">
        <v>875</v>
      </c>
      <c r="Q409" s="217" t="str">
        <f t="shared" si="152"/>
        <v>FCCS_ClosingBalance_Input</v>
      </c>
      <c r="R409" s="217" t="str">
        <f t="shared" si="153"/>
        <v>Actual</v>
      </c>
      <c r="S409" s="217" t="str">
        <f t="shared" si="153"/>
        <v>FCCS_YTD_Input</v>
      </c>
      <c r="T409" s="217" t="s">
        <v>850</v>
      </c>
    </row>
    <row r="410" spans="2:20" s="371" customFormat="1" x14ac:dyDescent="0.3">
      <c r="B410" s="214" t="s">
        <v>667</v>
      </c>
      <c r="C410" s="214" t="s">
        <v>871</v>
      </c>
      <c r="D410" s="216" t="str">
        <f>[2]!HsSetValue(E410,"FCC","Scenario#"&amp;R410&amp;";Years#"&amp;J410&amp;";Period#"&amp;I410&amp;";View#"&amp;S410&amp;";Entity#"&amp;H410&amp;";Data Source#"&amp;K410&amp;";Account#"&amp;F410&amp;";Intercompany#"&amp;L410&amp;";Movement#"&amp;Q410&amp;";Consolidation#"&amp;T410&amp;";Custom1#"&amp;M410&amp;";Custom2#"&amp;N410&amp;";Custom3#"&amp;O410&amp;";Custom4#"&amp;P410&amp;"")</f>
        <v>#Invalid Syntax</v>
      </c>
      <c r="E410" s="216">
        <f>SUMIFS('Investment Analysis'!$H$22:$H$69,'Investment Analysis'!$E$22:$E$69,"General Obligation Bonds",'Investment Analysis'!$AB$22:$AB$69,"2")</f>
        <v>0</v>
      </c>
      <c r="F410" s="217" t="s">
        <v>674</v>
      </c>
      <c r="G410" s="217" t="str">
        <f t="shared" si="149"/>
        <v xml:space="preserve">Inv. Analysis - Credit Quality Risk - General Obligation Bonds                                 </v>
      </c>
      <c r="H410" s="218" t="e">
        <f t="shared" si="150"/>
        <v>#N/A</v>
      </c>
      <c r="I410" s="218" t="str">
        <f t="shared" si="150"/>
        <v>Jun</v>
      </c>
      <c r="J410" s="217" t="str">
        <f t="shared" si="150"/>
        <v>FY25</v>
      </c>
      <c r="K410" s="217" t="str">
        <f t="shared" si="150"/>
        <v>FCCS_Other Data</v>
      </c>
      <c r="L410" s="217" t="str">
        <f t="shared" si="150"/>
        <v>FCCS_No Intercompany</v>
      </c>
      <c r="M410" s="217" t="str">
        <f t="shared" si="151"/>
        <v>No Custom1</v>
      </c>
      <c r="N410" s="217" t="str">
        <f t="shared" si="150"/>
        <v>No Custom2</v>
      </c>
      <c r="O410" s="217" t="s">
        <v>618</v>
      </c>
      <c r="P410" s="217" t="s">
        <v>875</v>
      </c>
      <c r="Q410" s="217" t="str">
        <f t="shared" si="152"/>
        <v>FCCS_ClosingBalance_Input</v>
      </c>
      <c r="R410" s="217" t="str">
        <f t="shared" si="153"/>
        <v>Actual</v>
      </c>
      <c r="S410" s="217" t="str">
        <f t="shared" si="153"/>
        <v>FCCS_YTD_Input</v>
      </c>
      <c r="T410" s="217" t="s">
        <v>850</v>
      </c>
    </row>
    <row r="411" spans="2:20" s="371" customFormat="1" x14ac:dyDescent="0.3">
      <c r="B411" s="214" t="s">
        <v>667</v>
      </c>
      <c r="C411" s="214" t="s">
        <v>871</v>
      </c>
      <c r="D411" s="216" t="str">
        <f>[2]!HsSetValue(E411,"FCC","Scenario#"&amp;R411&amp;";Years#"&amp;J411&amp;";Period#"&amp;I411&amp;";View#"&amp;S411&amp;";Entity#"&amp;H411&amp;";Data Source#"&amp;K411&amp;";Account#"&amp;F411&amp;";Intercompany#"&amp;L411&amp;";Movement#"&amp;Q411&amp;";Consolidation#"&amp;T411&amp;";Custom1#"&amp;M411&amp;";Custom2#"&amp;N411&amp;";Custom3#"&amp;O411&amp;";Custom4#"&amp;P411&amp;"")</f>
        <v>#Invalid Syntax</v>
      </c>
      <c r="E411" s="216">
        <f>SUMIFS('Investment Analysis'!$H$22:$H$69,'Investment Analysis'!$E$22:$E$69,"General Obligation Bonds",'Investment Analysis'!$AB$22:$AB$69,"1")</f>
        <v>0</v>
      </c>
      <c r="F411" s="217" t="s">
        <v>674</v>
      </c>
      <c r="G411" s="217" t="str">
        <f t="shared" si="149"/>
        <v xml:space="preserve">Inv. Analysis - Credit Quality Risk - General Obligation Bonds                                 </v>
      </c>
      <c r="H411" s="218" t="e">
        <f t="shared" si="150"/>
        <v>#N/A</v>
      </c>
      <c r="I411" s="218" t="str">
        <f t="shared" si="150"/>
        <v>Jun</v>
      </c>
      <c r="J411" s="217" t="str">
        <f t="shared" si="150"/>
        <v>FY25</v>
      </c>
      <c r="K411" s="217" t="str">
        <f t="shared" si="150"/>
        <v>FCCS_Other Data</v>
      </c>
      <c r="L411" s="217" t="str">
        <f t="shared" si="150"/>
        <v>FCCS_No Intercompany</v>
      </c>
      <c r="M411" s="217" t="str">
        <f t="shared" si="151"/>
        <v>No Custom1</v>
      </c>
      <c r="N411" s="217" t="str">
        <f t="shared" si="150"/>
        <v>No Custom2</v>
      </c>
      <c r="O411" s="217" t="s">
        <v>64</v>
      </c>
      <c r="P411" s="217" t="s">
        <v>875</v>
      </c>
      <c r="Q411" s="217" t="str">
        <f t="shared" si="152"/>
        <v>FCCS_ClosingBalance_Input</v>
      </c>
      <c r="R411" s="217" t="str">
        <f t="shared" si="153"/>
        <v>Actual</v>
      </c>
      <c r="S411" s="217" t="str">
        <f t="shared" si="153"/>
        <v>FCCS_YTD_Input</v>
      </c>
      <c r="T411" s="217" t="s">
        <v>850</v>
      </c>
    </row>
    <row r="412" spans="2:20" x14ac:dyDescent="0.3">
      <c r="B412" s="214" t="s">
        <v>667</v>
      </c>
      <c r="C412" s="214" t="s">
        <v>871</v>
      </c>
      <c r="D412" s="216" t="str">
        <f>[2]!HsSetValue(E412,"FCC","Scenario#"&amp;R412&amp;";Years#"&amp;J412&amp;";Period#"&amp;I412&amp;";View#"&amp;S412&amp;";Entity#"&amp;H412&amp;";Data Source#"&amp;K412&amp;";Account#"&amp;F412&amp;";Intercompany#"&amp;L412&amp;";Movement#"&amp;Q412&amp;";Consolidation#"&amp;T412&amp;";Custom1#"&amp;M412&amp;";Custom2#"&amp;N412&amp;";Custom3#"&amp;O412&amp;";Custom4#"&amp;P412&amp;"")</f>
        <v>#Invalid Syntax</v>
      </c>
      <c r="E412" s="216">
        <f>SUMIFS('Investment Analysis'!$H$22:$H$69,'Investment Analysis'!$E$22:$E$69,"General Obligation Bonds",'Investment Analysis'!$AI$22:$AI$69,"16")</f>
        <v>0</v>
      </c>
      <c r="F412" s="217" t="s">
        <v>674</v>
      </c>
      <c r="G412" s="217" t="str">
        <f t="shared" si="149"/>
        <v xml:space="preserve">Inv. Analysis - Credit Quality Risk - General Obligation Bonds                                 </v>
      </c>
      <c r="H412" s="218" t="e">
        <f t="shared" si="150"/>
        <v>#N/A</v>
      </c>
      <c r="I412" s="218" t="str">
        <f t="shared" si="150"/>
        <v>Jun</v>
      </c>
      <c r="J412" s="217" t="str">
        <f t="shared" si="150"/>
        <v>FY25</v>
      </c>
      <c r="K412" s="217" t="str">
        <f t="shared" si="150"/>
        <v>FCCS_Other Data</v>
      </c>
      <c r="L412" s="217" t="str">
        <f t="shared" si="150"/>
        <v>FCCS_No Intercompany</v>
      </c>
      <c r="M412" s="217" t="str">
        <f t="shared" si="151"/>
        <v>No Custom1</v>
      </c>
      <c r="N412" s="217" t="str">
        <f t="shared" si="150"/>
        <v>No Custom2</v>
      </c>
      <c r="O412" s="217" t="s">
        <v>726</v>
      </c>
      <c r="P412" s="217" t="s">
        <v>875</v>
      </c>
      <c r="Q412" s="217" t="str">
        <f t="shared" si="152"/>
        <v>FCCS_ClosingBalance_Input</v>
      </c>
      <c r="R412" s="217" t="str">
        <f t="shared" si="153"/>
        <v>Actual</v>
      </c>
      <c r="S412" s="217" t="str">
        <f t="shared" si="153"/>
        <v>FCCS_YTD_Input</v>
      </c>
      <c r="T412" s="217" t="s">
        <v>850</v>
      </c>
    </row>
    <row r="413" spans="2:20" x14ac:dyDescent="0.3">
      <c r="B413" s="214" t="s">
        <v>667</v>
      </c>
      <c r="C413" s="214" t="s">
        <v>871</v>
      </c>
      <c r="D413" s="216" t="str">
        <f>[2]!HsSetValue(E413,"FCC","Scenario#"&amp;R413&amp;";Years#"&amp;J413&amp;";Period#"&amp;I413&amp;";View#"&amp;S413&amp;";Entity#"&amp;H413&amp;";Data Source#"&amp;K413&amp;";Account#"&amp;F413&amp;";Intercompany#"&amp;L413&amp;";Movement#"&amp;Q413&amp;";Consolidation#"&amp;T413&amp;";Custom1#"&amp;M413&amp;";Custom2#"&amp;N413&amp;";Custom3#"&amp;O413&amp;";Custom4#"&amp;P413&amp;"")</f>
        <v>#Invalid Syntax</v>
      </c>
      <c r="E413" s="216">
        <f>SUMIFS('Investment Analysis'!$H$22:$H$69,'Investment Analysis'!$E$22:$E$69,"General Obligation Bonds",'Investment Analysis'!$AI$22:$AI$69,"15")</f>
        <v>0</v>
      </c>
      <c r="F413" s="217" t="s">
        <v>674</v>
      </c>
      <c r="G413" s="217" t="str">
        <f t="shared" si="149"/>
        <v xml:space="preserve">Inv. Analysis - Credit Quality Risk - General Obligation Bonds                                 </v>
      </c>
      <c r="H413" s="218" t="e">
        <f t="shared" si="150"/>
        <v>#N/A</v>
      </c>
      <c r="I413" s="218" t="str">
        <f t="shared" si="150"/>
        <v>Jun</v>
      </c>
      <c r="J413" s="217" t="str">
        <f t="shared" si="150"/>
        <v>FY25</v>
      </c>
      <c r="K413" s="217" t="str">
        <f t="shared" si="150"/>
        <v>FCCS_Other Data</v>
      </c>
      <c r="L413" s="217" t="str">
        <f t="shared" si="150"/>
        <v>FCCS_No Intercompany</v>
      </c>
      <c r="M413" s="217" t="str">
        <f t="shared" si="151"/>
        <v>No Custom1</v>
      </c>
      <c r="N413" s="217" t="str">
        <f t="shared" si="150"/>
        <v>No Custom2</v>
      </c>
      <c r="O413" s="217" t="s">
        <v>727</v>
      </c>
      <c r="P413" s="217" t="s">
        <v>875</v>
      </c>
      <c r="Q413" s="217" t="str">
        <f t="shared" si="152"/>
        <v>FCCS_ClosingBalance_Input</v>
      </c>
      <c r="R413" s="217" t="str">
        <f t="shared" si="153"/>
        <v>Actual</v>
      </c>
      <c r="S413" s="217" t="str">
        <f t="shared" si="153"/>
        <v>FCCS_YTD_Input</v>
      </c>
      <c r="T413" s="217" t="s">
        <v>850</v>
      </c>
    </row>
    <row r="414" spans="2:20" x14ac:dyDescent="0.3">
      <c r="B414" s="214" t="s">
        <v>667</v>
      </c>
      <c r="C414" s="214" t="s">
        <v>871</v>
      </c>
      <c r="D414" s="216" t="str">
        <f>[2]!HsSetValue(E414,"FCC","Scenario#"&amp;R414&amp;";Years#"&amp;J414&amp;";Period#"&amp;I414&amp;";View#"&amp;S414&amp;";Entity#"&amp;H414&amp;";Data Source#"&amp;K414&amp;";Account#"&amp;F414&amp;";Intercompany#"&amp;L414&amp;";Movement#"&amp;Q414&amp;";Consolidation#"&amp;T414&amp;";Custom1#"&amp;M414&amp;";Custom2#"&amp;N414&amp;";Custom3#"&amp;O414&amp;";Custom4#"&amp;P414&amp;"")</f>
        <v>#Invalid Syntax</v>
      </c>
      <c r="E414" s="216">
        <f>SUMIFS('Investment Analysis'!$H$22:$H$69,'Investment Analysis'!$E$22:$E$69,"General Obligation Bonds",'Investment Analysis'!$AI$22:$AI$69,"14")</f>
        <v>0</v>
      </c>
      <c r="F414" s="217" t="s">
        <v>674</v>
      </c>
      <c r="G414" s="217" t="str">
        <f t="shared" si="149"/>
        <v xml:space="preserve">Inv. Analysis - Credit Quality Risk - General Obligation Bonds                                 </v>
      </c>
      <c r="H414" s="218" t="e">
        <f t="shared" si="150"/>
        <v>#N/A</v>
      </c>
      <c r="I414" s="218" t="str">
        <f t="shared" si="150"/>
        <v>Jun</v>
      </c>
      <c r="J414" s="217" t="str">
        <f t="shared" si="150"/>
        <v>FY25</v>
      </c>
      <c r="K414" s="217" t="str">
        <f t="shared" si="150"/>
        <v>FCCS_Other Data</v>
      </c>
      <c r="L414" s="217" t="str">
        <f t="shared" si="150"/>
        <v>FCCS_No Intercompany</v>
      </c>
      <c r="M414" s="217" t="str">
        <f t="shared" si="151"/>
        <v>No Custom1</v>
      </c>
      <c r="N414" s="217" t="str">
        <f t="shared" si="150"/>
        <v>No Custom2</v>
      </c>
      <c r="O414" s="217" t="s">
        <v>728</v>
      </c>
      <c r="P414" s="217" t="s">
        <v>875</v>
      </c>
      <c r="Q414" s="217" t="str">
        <f t="shared" si="152"/>
        <v>FCCS_ClosingBalance_Input</v>
      </c>
      <c r="R414" s="217" t="str">
        <f t="shared" si="153"/>
        <v>Actual</v>
      </c>
      <c r="S414" s="217" t="str">
        <f t="shared" si="153"/>
        <v>FCCS_YTD_Input</v>
      </c>
      <c r="T414" s="217" t="s">
        <v>850</v>
      </c>
    </row>
    <row r="415" spans="2:20" x14ac:dyDescent="0.3">
      <c r="B415" s="214" t="s">
        <v>667</v>
      </c>
      <c r="C415" s="214" t="s">
        <v>871</v>
      </c>
      <c r="D415" s="216" t="str">
        <f>[2]!HsSetValue(E415,"FCC","Scenario#"&amp;R415&amp;";Years#"&amp;J415&amp;";Period#"&amp;I415&amp;";View#"&amp;S415&amp;";Entity#"&amp;H415&amp;";Data Source#"&amp;K415&amp;";Account#"&amp;F415&amp;";Intercompany#"&amp;L415&amp;";Movement#"&amp;Q415&amp;";Consolidation#"&amp;T415&amp;";Custom1#"&amp;M415&amp;";Custom2#"&amp;N415&amp;";Custom3#"&amp;O415&amp;";Custom4#"&amp;P415&amp;"")</f>
        <v>#Invalid Syntax</v>
      </c>
      <c r="E415" s="216">
        <f>SUMIFS('Investment Analysis'!$H$22:$H$69,'Investment Analysis'!$E$22:$E$69,"General Obligation Bonds",'Investment Analysis'!$AB$22:$AB$69,"0")+SUMIFS('Investment Analysis'!$H$22:$H$69,'Investment Analysis'!$E$22:$E$69,"General Obligation Bonds",'Investment Analysis'!$AI$22:$AI$69,"0")</f>
        <v>0</v>
      </c>
      <c r="F415" s="217" t="s">
        <v>674</v>
      </c>
      <c r="G415" s="217" t="str">
        <f t="shared" si="149"/>
        <v xml:space="preserve">Inv. Analysis - Credit Quality Risk - General Obligation Bonds                                 </v>
      </c>
      <c r="H415" s="218" t="e">
        <f t="shared" si="150"/>
        <v>#N/A</v>
      </c>
      <c r="I415" s="218" t="str">
        <f t="shared" si="150"/>
        <v>Jun</v>
      </c>
      <c r="J415" s="217" t="str">
        <f t="shared" si="150"/>
        <v>FY25</v>
      </c>
      <c r="K415" s="217" t="str">
        <f t="shared" si="150"/>
        <v>FCCS_Other Data</v>
      </c>
      <c r="L415" s="217" t="str">
        <f t="shared" si="150"/>
        <v>FCCS_No Intercompany</v>
      </c>
      <c r="M415" s="217" t="str">
        <f t="shared" si="151"/>
        <v>No Custom1</v>
      </c>
      <c r="N415" s="217" t="str">
        <f t="shared" si="150"/>
        <v>No Custom2</v>
      </c>
      <c r="O415" s="217" t="s">
        <v>609</v>
      </c>
      <c r="P415" s="217" t="s">
        <v>875</v>
      </c>
      <c r="Q415" s="217" t="str">
        <f t="shared" si="152"/>
        <v>FCCS_ClosingBalance_Input</v>
      </c>
      <c r="R415" s="217" t="str">
        <f t="shared" si="153"/>
        <v>Actual</v>
      </c>
      <c r="S415" s="217" t="str">
        <f t="shared" si="153"/>
        <v>FCCS_YTD_Input</v>
      </c>
      <c r="T415" s="217" t="s">
        <v>850</v>
      </c>
    </row>
    <row r="417" spans="2:20" x14ac:dyDescent="0.3">
      <c r="B417" s="219" t="s">
        <v>1014</v>
      </c>
      <c r="C417" s="219" t="s">
        <v>871</v>
      </c>
      <c r="D417" s="221" t="str">
        <f>[2]!HsSetValue(E417,"FCC","Scenario#"&amp;R417&amp;";Years#"&amp;J417&amp;";Period#"&amp;I417&amp;";View#"&amp;S417&amp;";Entity#"&amp;H417&amp;";Data Source#"&amp;K417&amp;";Account#"&amp;F417&amp;";Intercompany#"&amp;L417&amp;";Movement#"&amp;Q417&amp;";Consolidation#"&amp;T417&amp;";Custom1#"&amp;M417&amp;";Custom2#"&amp;N417&amp;";Custom3#"&amp;O417&amp;";Custom4#"&amp;P417&amp;"")</f>
        <v>#Invalid Syntax</v>
      </c>
      <c r="E417" s="221">
        <f>SUMIFS('Investment Analysis'!$H$22:$H$69,'Investment Analysis'!$E$22:$E$69,"General Obligation Bonds",'Investment Analysis'!$AK$22:$AK$69,"21")</f>
        <v>0</v>
      </c>
      <c r="F417" s="222" t="s">
        <v>675</v>
      </c>
      <c r="G417" s="222" t="str">
        <f>"Inv. Analysis -  FV Measurement - "&amp;C417</f>
        <v xml:space="preserve">Inv. Analysis -  FV Measurement - General Obligation Bonds                                 </v>
      </c>
      <c r="H417" s="223" t="e">
        <f>+H$2</f>
        <v>#N/A</v>
      </c>
      <c r="I417" s="223" t="str">
        <f t="shared" ref="I417:I421" si="154">+I$2</f>
        <v>Jun</v>
      </c>
      <c r="J417" s="222" t="str">
        <f>+J$2</f>
        <v>FY25</v>
      </c>
      <c r="K417" s="222" t="s">
        <v>843</v>
      </c>
      <c r="L417" s="222" t="s">
        <v>844</v>
      </c>
      <c r="M417" s="222" t="s">
        <v>845</v>
      </c>
      <c r="N417" s="222" t="s">
        <v>846</v>
      </c>
      <c r="O417" s="222" t="s">
        <v>729</v>
      </c>
      <c r="P417" s="222" t="s">
        <v>875</v>
      </c>
      <c r="Q417" s="222" t="str">
        <f t="shared" ref="Q417:Q421" si="155">Q$2</f>
        <v>FCCS_ClosingBalance_Input</v>
      </c>
      <c r="R417" s="222" t="s">
        <v>169</v>
      </c>
      <c r="S417" s="222" t="s">
        <v>848</v>
      </c>
      <c r="T417" s="222" t="s">
        <v>850</v>
      </c>
    </row>
    <row r="418" spans="2:20" x14ac:dyDescent="0.3">
      <c r="B418" s="219" t="s">
        <v>1014</v>
      </c>
      <c r="C418" s="219" t="s">
        <v>871</v>
      </c>
      <c r="D418" s="221" t="str">
        <f>[2]!HsSetValue(E418,"FCC","Scenario#"&amp;R418&amp;";Years#"&amp;J418&amp;";Period#"&amp;I418&amp;";View#"&amp;S418&amp;";Entity#"&amp;H418&amp;";Data Source#"&amp;K418&amp;";Account#"&amp;F418&amp;";Intercompany#"&amp;L418&amp;";Movement#"&amp;Q418&amp;";Consolidation#"&amp;T418&amp;";Custom1#"&amp;M418&amp;";Custom2#"&amp;N418&amp;";Custom3#"&amp;O418&amp;";Custom4#"&amp;P418&amp;"")</f>
        <v>#Invalid Syntax</v>
      </c>
      <c r="E418" s="221">
        <f>SUMIFS('Investment Analysis'!$H$22:$H$69,'Investment Analysis'!$E$22:$E$69,"General Obligation Bonds",'Investment Analysis'!$AK$22:$AK$69,"22")</f>
        <v>0</v>
      </c>
      <c r="F418" s="222" t="s">
        <v>675</v>
      </c>
      <c r="G418" s="222" t="str">
        <f>"Inv. Analysis -  FV Measurement - "&amp;C418</f>
        <v xml:space="preserve">Inv. Analysis -  FV Measurement - General Obligation Bonds                                 </v>
      </c>
      <c r="H418" s="223" t="e">
        <f>+H$2</f>
        <v>#N/A</v>
      </c>
      <c r="I418" s="223" t="str">
        <f t="shared" si="154"/>
        <v>Jun</v>
      </c>
      <c r="J418" s="222" t="str">
        <f>+J$2</f>
        <v>FY25</v>
      </c>
      <c r="K418" s="222" t="str">
        <f t="shared" ref="K418:N421" si="156">+K$2</f>
        <v>FCCS_Other Data</v>
      </c>
      <c r="L418" s="222" t="str">
        <f t="shared" si="156"/>
        <v>FCCS_No Intercompany</v>
      </c>
      <c r="M418" s="222" t="str">
        <f>+M$1</f>
        <v>No Custom1</v>
      </c>
      <c r="N418" s="222" t="str">
        <f t="shared" si="156"/>
        <v>No Custom2</v>
      </c>
      <c r="O418" s="222" t="s">
        <v>730</v>
      </c>
      <c r="P418" s="222" t="s">
        <v>875</v>
      </c>
      <c r="Q418" s="222" t="str">
        <f t="shared" si="155"/>
        <v>FCCS_ClosingBalance_Input</v>
      </c>
      <c r="R418" s="222" t="str">
        <f t="shared" ref="R418:S421" si="157">+R$2</f>
        <v>Actual</v>
      </c>
      <c r="S418" s="222" t="str">
        <f t="shared" si="157"/>
        <v>FCCS_YTD_Input</v>
      </c>
      <c r="T418" s="222" t="s">
        <v>850</v>
      </c>
    </row>
    <row r="419" spans="2:20" x14ac:dyDescent="0.3">
      <c r="B419" s="219" t="s">
        <v>1014</v>
      </c>
      <c r="C419" s="219" t="s">
        <v>871</v>
      </c>
      <c r="D419" s="221" t="str">
        <f>[2]!HsSetValue(E419,"FCC","Scenario#"&amp;R419&amp;";Years#"&amp;J419&amp;";Period#"&amp;I419&amp;";View#"&amp;S419&amp;";Entity#"&amp;H419&amp;";Data Source#"&amp;K419&amp;";Account#"&amp;F419&amp;";Intercompany#"&amp;L419&amp;";Movement#"&amp;Q419&amp;";Consolidation#"&amp;T419&amp;";Custom1#"&amp;M419&amp;";Custom2#"&amp;N419&amp;";Custom3#"&amp;O419&amp;";Custom4#"&amp;P419&amp;"")</f>
        <v>#Invalid Syntax</v>
      </c>
      <c r="E419" s="221">
        <f>SUMIFS('Investment Analysis'!$H$22:$H$69,'Investment Analysis'!$E$22:$E$69,"General Obligation Bonds",'Investment Analysis'!$AK$22:$AK$69,"23")</f>
        <v>0</v>
      </c>
      <c r="F419" s="222" t="s">
        <v>675</v>
      </c>
      <c r="G419" s="222" t="str">
        <f>"Inv. Analysis -  FV Measurement - "&amp;C419</f>
        <v xml:space="preserve">Inv. Analysis -  FV Measurement - General Obligation Bonds                                 </v>
      </c>
      <c r="H419" s="223" t="e">
        <f>+H$2</f>
        <v>#N/A</v>
      </c>
      <c r="I419" s="223" t="str">
        <f t="shared" si="154"/>
        <v>Jun</v>
      </c>
      <c r="J419" s="222" t="str">
        <f>+J$2</f>
        <v>FY25</v>
      </c>
      <c r="K419" s="222" t="str">
        <f t="shared" si="156"/>
        <v>FCCS_Other Data</v>
      </c>
      <c r="L419" s="222" t="str">
        <f t="shared" si="156"/>
        <v>FCCS_No Intercompany</v>
      </c>
      <c r="M419" s="222" t="str">
        <f>+M$1</f>
        <v>No Custom1</v>
      </c>
      <c r="N419" s="222" t="str">
        <f t="shared" si="156"/>
        <v>No Custom2</v>
      </c>
      <c r="O419" s="222" t="s">
        <v>731</v>
      </c>
      <c r="P419" s="222" t="s">
        <v>875</v>
      </c>
      <c r="Q419" s="222" t="str">
        <f t="shared" si="155"/>
        <v>FCCS_ClosingBalance_Input</v>
      </c>
      <c r="R419" s="222" t="str">
        <f t="shared" si="157"/>
        <v>Actual</v>
      </c>
      <c r="S419" s="222" t="str">
        <f t="shared" si="157"/>
        <v>FCCS_YTD_Input</v>
      </c>
      <c r="T419" s="222" t="s">
        <v>850</v>
      </c>
    </row>
    <row r="420" spans="2:20" x14ac:dyDescent="0.3">
      <c r="B420" s="219" t="s">
        <v>1014</v>
      </c>
      <c r="C420" s="219" t="s">
        <v>871</v>
      </c>
      <c r="D420" s="221" t="str">
        <f>[2]!HsSetValue(E420,"FCC","Scenario#"&amp;R420&amp;";Years#"&amp;J420&amp;";Period#"&amp;I420&amp;";View#"&amp;S420&amp;";Entity#"&amp;H420&amp;";Data Source#"&amp;K420&amp;";Account#"&amp;F420&amp;";Intercompany#"&amp;L420&amp;";Movement#"&amp;Q420&amp;";Consolidation#"&amp;T420&amp;";Custom1#"&amp;M420&amp;";Custom2#"&amp;N420&amp;";Custom3#"&amp;O420&amp;";Custom4#"&amp;P420&amp;"")</f>
        <v>#Invalid Syntax</v>
      </c>
      <c r="E420" s="221">
        <f>SUMIFS('Investment Analysis'!$H$22:$H$69,'Investment Analysis'!$E$22:$E$69,"General Obligation Bonds",'Investment Analysis'!$AK$22:$AK$69,"24")</f>
        <v>0</v>
      </c>
      <c r="F420" s="222" t="s">
        <v>675</v>
      </c>
      <c r="G420" s="222" t="str">
        <f>"Inv. Analysis -  FV Measurement - "&amp;C420</f>
        <v xml:space="preserve">Inv. Analysis -  FV Measurement - General Obligation Bonds                                 </v>
      </c>
      <c r="H420" s="223" t="e">
        <f>+H$2</f>
        <v>#N/A</v>
      </c>
      <c r="I420" s="223" t="str">
        <f t="shared" si="154"/>
        <v>Jun</v>
      </c>
      <c r="J420" s="222" t="str">
        <f>+J$2</f>
        <v>FY25</v>
      </c>
      <c r="K420" s="222" t="str">
        <f t="shared" si="156"/>
        <v>FCCS_Other Data</v>
      </c>
      <c r="L420" s="222" t="str">
        <f t="shared" si="156"/>
        <v>FCCS_No Intercompany</v>
      </c>
      <c r="M420" s="222" t="str">
        <f>+M$1</f>
        <v>No Custom1</v>
      </c>
      <c r="N420" s="222" t="str">
        <f t="shared" si="156"/>
        <v>No Custom2</v>
      </c>
      <c r="O420" s="222" t="s">
        <v>732</v>
      </c>
      <c r="P420" s="222" t="s">
        <v>875</v>
      </c>
      <c r="Q420" s="222" t="str">
        <f t="shared" si="155"/>
        <v>FCCS_ClosingBalance_Input</v>
      </c>
      <c r="R420" s="222" t="str">
        <f t="shared" si="157"/>
        <v>Actual</v>
      </c>
      <c r="S420" s="222" t="str">
        <f t="shared" si="157"/>
        <v>FCCS_YTD_Input</v>
      </c>
      <c r="T420" s="222" t="s">
        <v>850</v>
      </c>
    </row>
    <row r="421" spans="2:20" x14ac:dyDescent="0.3">
      <c r="B421" s="219" t="s">
        <v>1014</v>
      </c>
      <c r="C421" s="219" t="s">
        <v>871</v>
      </c>
      <c r="D421" s="221" t="str">
        <f>[2]!HsSetValue(E421,"FCC","Scenario#"&amp;R421&amp;";Years#"&amp;J421&amp;";Period#"&amp;I421&amp;";View#"&amp;S421&amp;";Entity#"&amp;H421&amp;";Data Source#"&amp;K421&amp;";Account#"&amp;F421&amp;";Intercompany#"&amp;L421&amp;";Movement#"&amp;Q421&amp;";Consolidation#"&amp;T421&amp;";Custom1#"&amp;M421&amp;";Custom2#"&amp;N421&amp;";Custom3#"&amp;O421&amp;";Custom4#"&amp;P421&amp;"")</f>
        <v>#Invalid Syntax</v>
      </c>
      <c r="E421" s="221">
        <f>SUMIFS('Investment Analysis'!$H$22:$H$69,'Investment Analysis'!$E$22:$E$69,"General Obligation Bonds",'Investment Analysis'!$AK$22:$AK$69,"25")</f>
        <v>0</v>
      </c>
      <c r="F421" s="222" t="s">
        <v>675</v>
      </c>
      <c r="G421" s="222" t="str">
        <f>"Inv. Analysis -  FV Measurement - "&amp;C421</f>
        <v xml:space="preserve">Inv. Analysis -  FV Measurement - General Obligation Bonds                                 </v>
      </c>
      <c r="H421" s="223" t="e">
        <f>+H$2</f>
        <v>#N/A</v>
      </c>
      <c r="I421" s="223" t="str">
        <f t="shared" si="154"/>
        <v>Jun</v>
      </c>
      <c r="J421" s="222" t="str">
        <f>+J$2</f>
        <v>FY25</v>
      </c>
      <c r="K421" s="222" t="str">
        <f t="shared" si="156"/>
        <v>FCCS_Other Data</v>
      </c>
      <c r="L421" s="222" t="str">
        <f t="shared" si="156"/>
        <v>FCCS_No Intercompany</v>
      </c>
      <c r="M421" s="222" t="str">
        <f>+M$1</f>
        <v>No Custom1</v>
      </c>
      <c r="N421" s="222" t="str">
        <f t="shared" si="156"/>
        <v>No Custom2</v>
      </c>
      <c r="O421" s="222" t="s">
        <v>733</v>
      </c>
      <c r="P421" s="222" t="s">
        <v>875</v>
      </c>
      <c r="Q421" s="222" t="str">
        <f t="shared" si="155"/>
        <v>FCCS_ClosingBalance_Input</v>
      </c>
      <c r="R421" s="222" t="str">
        <f t="shared" si="157"/>
        <v>Actual</v>
      </c>
      <c r="S421" s="222" t="str">
        <f t="shared" si="157"/>
        <v>FCCS_YTD_Input</v>
      </c>
      <c r="T421" s="222" t="s">
        <v>850</v>
      </c>
    </row>
    <row r="422" spans="2:20" x14ac:dyDescent="0.3">
      <c r="B422" s="210"/>
      <c r="C422" s="210"/>
      <c r="D422" s="212"/>
      <c r="E422" s="212"/>
    </row>
    <row r="423" spans="2:20" x14ac:dyDescent="0.3">
      <c r="B423" s="364" t="s">
        <v>668</v>
      </c>
      <c r="C423" s="365" t="s">
        <v>15</v>
      </c>
      <c r="D423" s="366" t="str">
        <f>[2]!HsSetValue(E423,"FCC","Scenario#"&amp;R423&amp;";Years#"&amp;J423&amp;";Period#"&amp;I423&amp;";View#"&amp;S423&amp;";Entity#"&amp;H423&amp;";Data Source#"&amp;K423&amp;";Account#"&amp;F423&amp;";Intercompany#"&amp;L423&amp;";Movement#"&amp;Q423&amp;";Consolidation#"&amp;T423&amp;";Custom1#"&amp;M423&amp;";Custom2#"&amp;N423&amp;";Custom3#"&amp;O423&amp;";Custom4#"&amp;P423&amp;"")</f>
        <v>#Invalid Syntax</v>
      </c>
      <c r="E423" s="366">
        <f>SUMIF('Investment Analysis'!$E$22:$E$69,'FCC Investments - Load Tab'!C423,'Investment Analysis'!$K$22:$K$69)</f>
        <v>0</v>
      </c>
      <c r="F423" s="367" t="s">
        <v>673</v>
      </c>
      <c r="G423" s="367" t="s">
        <v>704</v>
      </c>
      <c r="H423" s="368" t="e">
        <f>+H$2</f>
        <v>#N/A</v>
      </c>
      <c r="I423" s="368" t="str">
        <f t="shared" ref="I423:I427" si="158">+I$2</f>
        <v>Jun</v>
      </c>
      <c r="J423" s="367" t="str">
        <f>+J$2</f>
        <v>FY25</v>
      </c>
      <c r="K423" s="367" t="s">
        <v>843</v>
      </c>
      <c r="L423" s="367" t="s">
        <v>844</v>
      </c>
      <c r="M423" s="367" t="s">
        <v>845</v>
      </c>
      <c r="N423" s="367" t="s">
        <v>846</v>
      </c>
      <c r="O423" s="367" t="s">
        <v>721</v>
      </c>
      <c r="P423" s="367" t="s">
        <v>716</v>
      </c>
      <c r="Q423" s="367" t="str">
        <f t="shared" ref="Q423:Q427" si="159">Q$2</f>
        <v>FCCS_ClosingBalance_Input</v>
      </c>
      <c r="R423" s="367" t="s">
        <v>169</v>
      </c>
      <c r="S423" s="367" t="s">
        <v>848</v>
      </c>
      <c r="T423" s="367" t="s">
        <v>850</v>
      </c>
    </row>
    <row r="424" spans="2:20" x14ac:dyDescent="0.3">
      <c r="B424" s="364" t="s">
        <v>668</v>
      </c>
      <c r="C424" s="365" t="s">
        <v>15</v>
      </c>
      <c r="D424" s="366" t="str">
        <f>[2]!HsSetValue(E424,"FCC","Scenario#"&amp;R424&amp;";Years#"&amp;J424&amp;";Period#"&amp;I424&amp;";View#"&amp;S424&amp;";Entity#"&amp;H424&amp;";Data Source#"&amp;K424&amp;";Account#"&amp;F424&amp;";Intercompany#"&amp;L424&amp;";Movement#"&amp;Q424&amp;";Consolidation#"&amp;T424&amp;";Custom1#"&amp;M424&amp;";Custom2#"&amp;N424&amp;";Custom3#"&amp;O424&amp;";Custom4#"&amp;P424&amp;"")</f>
        <v>#Invalid Syntax</v>
      </c>
      <c r="E424" s="366">
        <f>SUMIF('Investment Analysis'!$E$22:$E$69,'FCC Investments - Load Tab'!C423,'Investment Analysis'!$L$22:$L$69)</f>
        <v>0</v>
      </c>
      <c r="F424" s="367" t="s">
        <v>673</v>
      </c>
      <c r="G424" s="367" t="s">
        <v>704</v>
      </c>
      <c r="H424" s="368" t="e">
        <f>+H$2</f>
        <v>#N/A</v>
      </c>
      <c r="I424" s="368" t="str">
        <f t="shared" si="158"/>
        <v>Jun</v>
      </c>
      <c r="J424" s="367" t="str">
        <f>+J$2</f>
        <v>FY25</v>
      </c>
      <c r="K424" s="367" t="str">
        <f t="shared" ref="K424:N427" si="160">+K$2</f>
        <v>FCCS_Other Data</v>
      </c>
      <c r="L424" s="367" t="str">
        <f t="shared" si="160"/>
        <v>FCCS_No Intercompany</v>
      </c>
      <c r="M424" s="367" t="str">
        <f>+M$1</f>
        <v>No Custom1</v>
      </c>
      <c r="N424" s="367" t="str">
        <f t="shared" si="160"/>
        <v>No Custom2</v>
      </c>
      <c r="O424" s="367" t="s">
        <v>722</v>
      </c>
      <c r="P424" s="367" t="s">
        <v>716</v>
      </c>
      <c r="Q424" s="367" t="str">
        <f t="shared" si="159"/>
        <v>FCCS_ClosingBalance_Input</v>
      </c>
      <c r="R424" s="367" t="s">
        <v>169</v>
      </c>
      <c r="S424" s="367" t="s">
        <v>848</v>
      </c>
      <c r="T424" s="367" t="s">
        <v>850</v>
      </c>
    </row>
    <row r="425" spans="2:20" x14ac:dyDescent="0.3">
      <c r="B425" s="364" t="s">
        <v>668</v>
      </c>
      <c r="C425" s="365" t="s">
        <v>15</v>
      </c>
      <c r="D425" s="366" t="str">
        <f>[2]!HsSetValue(E425,"FCC","Scenario#"&amp;R425&amp;";Years#"&amp;J425&amp;";Period#"&amp;I425&amp;";View#"&amp;S425&amp;";Entity#"&amp;H425&amp;";Data Source#"&amp;K425&amp;";Account#"&amp;F425&amp;";Intercompany#"&amp;L425&amp;";Movement#"&amp;Q425&amp;";Consolidation#"&amp;T425&amp;";Custom1#"&amp;M425&amp;";Custom2#"&amp;N425&amp;";Custom3#"&amp;O425&amp;";Custom4#"&amp;P425&amp;"")</f>
        <v>#Invalid Syntax</v>
      </c>
      <c r="E425" s="366">
        <f>SUMIF('Investment Analysis'!$E$22:$E$69,'FCC Investments - Load Tab'!C423,'Investment Analysis'!$M$22:$M$69)</f>
        <v>0</v>
      </c>
      <c r="F425" s="367" t="s">
        <v>673</v>
      </c>
      <c r="G425" s="367" t="s">
        <v>704</v>
      </c>
      <c r="H425" s="368" t="e">
        <f>+H$2</f>
        <v>#N/A</v>
      </c>
      <c r="I425" s="368" t="str">
        <f t="shared" si="158"/>
        <v>Jun</v>
      </c>
      <c r="J425" s="367" t="str">
        <f>+J$2</f>
        <v>FY25</v>
      </c>
      <c r="K425" s="367" t="str">
        <f t="shared" si="160"/>
        <v>FCCS_Other Data</v>
      </c>
      <c r="L425" s="367" t="str">
        <f t="shared" si="160"/>
        <v>FCCS_No Intercompany</v>
      </c>
      <c r="M425" s="367" t="str">
        <f>+M$1</f>
        <v>No Custom1</v>
      </c>
      <c r="N425" s="367" t="str">
        <f t="shared" si="160"/>
        <v>No Custom2</v>
      </c>
      <c r="O425" s="367" t="s">
        <v>723</v>
      </c>
      <c r="P425" s="367" t="s">
        <v>716</v>
      </c>
      <c r="Q425" s="367" t="str">
        <f t="shared" si="159"/>
        <v>FCCS_ClosingBalance_Input</v>
      </c>
      <c r="R425" s="367" t="s">
        <v>169</v>
      </c>
      <c r="S425" s="367" t="s">
        <v>848</v>
      </c>
      <c r="T425" s="367" t="s">
        <v>850</v>
      </c>
    </row>
    <row r="426" spans="2:20" x14ac:dyDescent="0.3">
      <c r="B426" s="364" t="s">
        <v>668</v>
      </c>
      <c r="C426" s="365" t="s">
        <v>15</v>
      </c>
      <c r="D426" s="366" t="str">
        <f>[2]!HsSetValue(E426,"FCC","Scenario#"&amp;R426&amp;";Years#"&amp;J426&amp;";Period#"&amp;I426&amp;";View#"&amp;S426&amp;";Entity#"&amp;H426&amp;";Data Source#"&amp;K426&amp;";Account#"&amp;F426&amp;";Intercompany#"&amp;L426&amp;";Movement#"&amp;Q426&amp;";Consolidation#"&amp;T426&amp;";Custom1#"&amp;M426&amp;";Custom2#"&amp;N426&amp;";Custom3#"&amp;O426&amp;";Custom4#"&amp;P426&amp;"")</f>
        <v>#Invalid Syntax</v>
      </c>
      <c r="E426" s="366">
        <f>SUMIF('Investment Analysis'!$E$22:$E$69,'FCC Investments - Load Tab'!C426,'Investment Analysis'!$N$22:$N$69)</f>
        <v>0</v>
      </c>
      <c r="F426" s="367" t="s">
        <v>673</v>
      </c>
      <c r="G426" s="367" t="s">
        <v>704</v>
      </c>
      <c r="H426" s="368" t="e">
        <f>+H$2</f>
        <v>#N/A</v>
      </c>
      <c r="I426" s="368" t="str">
        <f t="shared" si="158"/>
        <v>Jun</v>
      </c>
      <c r="J426" s="367" t="str">
        <f>+J$2</f>
        <v>FY25</v>
      </c>
      <c r="K426" s="367" t="str">
        <f t="shared" si="160"/>
        <v>FCCS_Other Data</v>
      </c>
      <c r="L426" s="367" t="str">
        <f t="shared" si="160"/>
        <v>FCCS_No Intercompany</v>
      </c>
      <c r="M426" s="367" t="str">
        <f>+M$1</f>
        <v>No Custom1</v>
      </c>
      <c r="N426" s="367" t="str">
        <f t="shared" si="160"/>
        <v>No Custom2</v>
      </c>
      <c r="O426" s="367" t="s">
        <v>724</v>
      </c>
      <c r="P426" s="367" t="s">
        <v>716</v>
      </c>
      <c r="Q426" s="367" t="str">
        <f t="shared" si="159"/>
        <v>FCCS_ClosingBalance_Input</v>
      </c>
      <c r="R426" s="367" t="s">
        <v>169</v>
      </c>
      <c r="S426" s="367" t="s">
        <v>848</v>
      </c>
      <c r="T426" s="367" t="s">
        <v>850</v>
      </c>
    </row>
    <row r="427" spans="2:20" x14ac:dyDescent="0.3">
      <c r="B427" s="364" t="s">
        <v>668</v>
      </c>
      <c r="C427" s="365" t="s">
        <v>15</v>
      </c>
      <c r="D427" s="366" t="str">
        <f>[2]!HsSetValue(E427,"FCC","Scenario#"&amp;R427&amp;";Years#"&amp;J427&amp;";Period#"&amp;I427&amp;";View#"&amp;S427&amp;";Entity#"&amp;H427&amp;";Data Source#"&amp;K427&amp;";Account#"&amp;F427&amp;";Intercompany#"&amp;L427&amp;";Movement#"&amp;Q427&amp;";Consolidation#"&amp;T427&amp;";Custom1#"&amp;M427&amp;";Custom2#"&amp;N427&amp;";Custom3#"&amp;O427&amp;";Custom4#"&amp;P427&amp;"")</f>
        <v>#Invalid Syntax</v>
      </c>
      <c r="E427" s="366">
        <f>SUMIF('Investment Analysis'!$E$2:$E$69,'FCC Investments - Load Tab'!C427,'Investment Analysis'!$O$2:$O$69)</f>
        <v>0</v>
      </c>
      <c r="F427" s="367" t="s">
        <v>673</v>
      </c>
      <c r="G427" s="367" t="s">
        <v>704</v>
      </c>
      <c r="H427" s="368" t="e">
        <f>+H$2</f>
        <v>#N/A</v>
      </c>
      <c r="I427" s="368" t="str">
        <f t="shared" si="158"/>
        <v>Jun</v>
      </c>
      <c r="J427" s="367" t="str">
        <f>+J$2</f>
        <v>FY25</v>
      </c>
      <c r="K427" s="367" t="str">
        <f t="shared" si="160"/>
        <v>FCCS_Other Data</v>
      </c>
      <c r="L427" s="367" t="str">
        <f t="shared" si="160"/>
        <v>FCCS_No Intercompany</v>
      </c>
      <c r="M427" s="367" t="str">
        <f>+M$1</f>
        <v>No Custom1</v>
      </c>
      <c r="N427" s="367" t="str">
        <f t="shared" si="160"/>
        <v>No Custom2</v>
      </c>
      <c r="O427" s="367" t="s">
        <v>725</v>
      </c>
      <c r="P427" s="367" t="s">
        <v>716</v>
      </c>
      <c r="Q427" s="367" t="str">
        <f t="shared" si="159"/>
        <v>FCCS_ClosingBalance_Input</v>
      </c>
      <c r="R427" s="367" t="s">
        <v>169</v>
      </c>
      <c r="S427" s="367" t="s">
        <v>848</v>
      </c>
      <c r="T427" s="367" t="s">
        <v>850</v>
      </c>
    </row>
    <row r="428" spans="2:20" x14ac:dyDescent="0.3">
      <c r="B428" s="210"/>
      <c r="C428" s="211"/>
      <c r="D428" s="212"/>
      <c r="E428" s="212"/>
    </row>
    <row r="429" spans="2:20" x14ac:dyDescent="0.3">
      <c r="B429" s="214" t="s">
        <v>667</v>
      </c>
      <c r="C429" s="215" t="s">
        <v>15</v>
      </c>
      <c r="D429" s="216" t="str">
        <f>[2]!HsSetValue(E429,"FCC","Scenario#"&amp;R429&amp;";Years#"&amp;J429&amp;";Period#"&amp;I429&amp;";View#"&amp;S429&amp;";Entity#"&amp;H429&amp;";Data Source#"&amp;K429&amp;";Account#"&amp;F429&amp;";Intercompany#"&amp;L429&amp;";Movement#"&amp;Q429&amp;";Consolidation#"&amp;T429&amp;";Custom1#"&amp;M429&amp;";Custom2#"&amp;N429&amp;";Custom3#"&amp;O429&amp;";Custom4#"&amp;P429&amp;"")</f>
        <v>#Invalid Syntax</v>
      </c>
      <c r="E429" s="216">
        <f>SUMIFS('Investment Analysis'!$H$22:$H$69,'Investment Analysis'!$E$22:$E$69,"Guaranteed Investment Contracts",'Investment Analysis'!$AB$22:$AB$69,"10")</f>
        <v>0</v>
      </c>
      <c r="F429" s="217" t="s">
        <v>674</v>
      </c>
      <c r="G429" s="217" t="s">
        <v>1057</v>
      </c>
      <c r="H429" s="218" t="e">
        <f t="shared" ref="H429:N442" si="161">+H$2</f>
        <v>#N/A</v>
      </c>
      <c r="I429" s="218" t="str">
        <f t="shared" si="161"/>
        <v>Jun</v>
      </c>
      <c r="J429" s="217" t="str">
        <f t="shared" si="161"/>
        <v>FY25</v>
      </c>
      <c r="K429" s="217" t="str">
        <f t="shared" si="161"/>
        <v>FCCS_Other Data</v>
      </c>
      <c r="L429" s="217" t="str">
        <f t="shared" si="161"/>
        <v>FCCS_No Intercompany</v>
      </c>
      <c r="M429" s="217" t="str">
        <f t="shared" ref="M429:M442" si="162">+M$1</f>
        <v>No Custom1</v>
      </c>
      <c r="N429" s="217" t="str">
        <f t="shared" si="161"/>
        <v>No Custom2</v>
      </c>
      <c r="O429" s="217" t="s">
        <v>433</v>
      </c>
      <c r="P429" s="217" t="s">
        <v>716</v>
      </c>
      <c r="Q429" s="217" t="str">
        <f t="shared" ref="Q429:Q442" si="163">Q$2</f>
        <v>FCCS_ClosingBalance_Input</v>
      </c>
      <c r="R429" s="217" t="s">
        <v>169</v>
      </c>
      <c r="S429" s="217" t="s">
        <v>848</v>
      </c>
      <c r="T429" s="217" t="s">
        <v>850</v>
      </c>
    </row>
    <row r="430" spans="2:20" x14ac:dyDescent="0.3">
      <c r="B430" s="214" t="s">
        <v>667</v>
      </c>
      <c r="C430" s="215" t="s">
        <v>15</v>
      </c>
      <c r="D430" s="216" t="str">
        <f>[2]!HsSetValue(E430,"FCC","Scenario#"&amp;R430&amp;";Years#"&amp;J430&amp;";Period#"&amp;I430&amp;";View#"&amp;S430&amp;";Entity#"&amp;H430&amp;";Data Source#"&amp;K430&amp;";Account#"&amp;F430&amp;";Intercompany#"&amp;L430&amp;";Movement#"&amp;Q430&amp;";Consolidation#"&amp;T430&amp;";Custom1#"&amp;M430&amp;";Custom2#"&amp;N430&amp;";Custom3#"&amp;O430&amp;";Custom4#"&amp;P430&amp;"")</f>
        <v>#Invalid Syntax</v>
      </c>
      <c r="E430" s="216">
        <f>SUMIFS('Investment Analysis'!$H$22:$H$69,'Investment Analysis'!$E$22:$E$69,"Guaranteed Investment Contracts",'Investment Analysis'!$AB$22:$AB$69,"9")</f>
        <v>0</v>
      </c>
      <c r="F430" s="217" t="s">
        <v>674</v>
      </c>
      <c r="G430" s="217" t="s">
        <v>1057</v>
      </c>
      <c r="H430" s="218" t="e">
        <f t="shared" si="161"/>
        <v>#N/A</v>
      </c>
      <c r="I430" s="218" t="str">
        <f t="shared" si="161"/>
        <v>Jun</v>
      </c>
      <c r="J430" s="217" t="str">
        <f t="shared" si="161"/>
        <v>FY25</v>
      </c>
      <c r="K430" s="217" t="str">
        <f t="shared" si="161"/>
        <v>FCCS_Other Data</v>
      </c>
      <c r="L430" s="217" t="str">
        <f t="shared" si="161"/>
        <v>FCCS_No Intercompany</v>
      </c>
      <c r="M430" s="217" t="str">
        <f t="shared" si="162"/>
        <v>No Custom1</v>
      </c>
      <c r="N430" s="217" t="str">
        <f t="shared" si="161"/>
        <v>No Custom2</v>
      </c>
      <c r="O430" s="217" t="s">
        <v>596</v>
      </c>
      <c r="P430" s="217" t="s">
        <v>716</v>
      </c>
      <c r="Q430" s="217" t="str">
        <f t="shared" si="163"/>
        <v>FCCS_ClosingBalance_Input</v>
      </c>
      <c r="R430" s="217" t="s">
        <v>169</v>
      </c>
      <c r="S430" s="217" t="s">
        <v>848</v>
      </c>
      <c r="T430" s="217" t="s">
        <v>850</v>
      </c>
    </row>
    <row r="431" spans="2:20" x14ac:dyDescent="0.3">
      <c r="B431" s="214" t="s">
        <v>667</v>
      </c>
      <c r="C431" s="215" t="s">
        <v>15</v>
      </c>
      <c r="D431" s="216" t="str">
        <f>[2]!HsSetValue(E431,"FCC","Scenario#"&amp;R431&amp;";Years#"&amp;J431&amp;";Period#"&amp;I431&amp;";View#"&amp;S431&amp;";Entity#"&amp;H431&amp;";Data Source#"&amp;K431&amp;";Account#"&amp;F431&amp;";Intercompany#"&amp;L431&amp;";Movement#"&amp;Q431&amp;";Consolidation#"&amp;T431&amp;";Custom1#"&amp;M431&amp;";Custom2#"&amp;N431&amp;";Custom3#"&amp;O431&amp;";Custom4#"&amp;P431&amp;"")</f>
        <v>#Invalid Syntax</v>
      </c>
      <c r="E431" s="216">
        <f>SUMIFS('Investment Analysis'!$H$22:$H$69,'Investment Analysis'!$E$22:$E$69,"Guaranteed Investment Contracts",'Investment Analysis'!$AB$22:$AB$69,"8")</f>
        <v>0</v>
      </c>
      <c r="F431" s="217" t="s">
        <v>674</v>
      </c>
      <c r="G431" s="217" t="s">
        <v>1057</v>
      </c>
      <c r="H431" s="218" t="e">
        <f t="shared" si="161"/>
        <v>#N/A</v>
      </c>
      <c r="I431" s="218" t="str">
        <f t="shared" si="161"/>
        <v>Jun</v>
      </c>
      <c r="J431" s="217" t="str">
        <f t="shared" si="161"/>
        <v>FY25</v>
      </c>
      <c r="K431" s="217" t="str">
        <f t="shared" si="161"/>
        <v>FCCS_Other Data</v>
      </c>
      <c r="L431" s="217" t="str">
        <f t="shared" si="161"/>
        <v>FCCS_No Intercompany</v>
      </c>
      <c r="M431" s="217" t="str">
        <f t="shared" si="162"/>
        <v>No Custom1</v>
      </c>
      <c r="N431" s="217" t="str">
        <f t="shared" si="161"/>
        <v>No Custom2</v>
      </c>
      <c r="O431" s="217" t="s">
        <v>61</v>
      </c>
      <c r="P431" s="217" t="s">
        <v>716</v>
      </c>
      <c r="Q431" s="217" t="str">
        <f t="shared" si="163"/>
        <v>FCCS_ClosingBalance_Input</v>
      </c>
      <c r="R431" s="217" t="s">
        <v>169</v>
      </c>
      <c r="S431" s="217" t="s">
        <v>848</v>
      </c>
      <c r="T431" s="217" t="s">
        <v>850</v>
      </c>
    </row>
    <row r="432" spans="2:20" x14ac:dyDescent="0.3">
      <c r="B432" s="214" t="s">
        <v>667</v>
      </c>
      <c r="C432" s="215" t="s">
        <v>15</v>
      </c>
      <c r="D432" s="216" t="str">
        <f>[2]!HsSetValue(E432,"FCC","Scenario#"&amp;R432&amp;";Years#"&amp;J432&amp;";Period#"&amp;I432&amp;";View#"&amp;S432&amp;";Entity#"&amp;H432&amp;";Data Source#"&amp;K432&amp;";Account#"&amp;F432&amp;";Intercompany#"&amp;L432&amp;";Movement#"&amp;Q432&amp;";Consolidation#"&amp;T432&amp;";Custom1#"&amp;M432&amp;";Custom2#"&amp;N432&amp;";Custom3#"&amp;O432&amp;";Custom4#"&amp;P432&amp;"")</f>
        <v>#Invalid Syntax</v>
      </c>
      <c r="E432" s="216">
        <f>SUMIFS('Investment Analysis'!$H$22:$H$69,'Investment Analysis'!$E$22:$E$69,"Guaranteed Investment Contracts",'Investment Analysis'!$AB$22:$AB$69,"7")</f>
        <v>0</v>
      </c>
      <c r="F432" s="217" t="s">
        <v>674</v>
      </c>
      <c r="G432" s="217" t="s">
        <v>1057</v>
      </c>
      <c r="H432" s="218" t="e">
        <f t="shared" si="161"/>
        <v>#N/A</v>
      </c>
      <c r="I432" s="218" t="str">
        <f t="shared" si="161"/>
        <v>Jun</v>
      </c>
      <c r="J432" s="217" t="str">
        <f t="shared" si="161"/>
        <v>FY25</v>
      </c>
      <c r="K432" s="217" t="str">
        <f t="shared" si="161"/>
        <v>FCCS_Other Data</v>
      </c>
      <c r="L432" s="217" t="str">
        <f t="shared" si="161"/>
        <v>FCCS_No Intercompany</v>
      </c>
      <c r="M432" s="217" t="str">
        <f t="shared" si="162"/>
        <v>No Custom1</v>
      </c>
      <c r="N432" s="217" t="str">
        <f t="shared" si="161"/>
        <v>No Custom2</v>
      </c>
      <c r="O432" s="217" t="s">
        <v>62</v>
      </c>
      <c r="P432" s="217" t="s">
        <v>716</v>
      </c>
      <c r="Q432" s="217" t="str">
        <f t="shared" si="163"/>
        <v>FCCS_ClosingBalance_Input</v>
      </c>
      <c r="R432" s="217" t="s">
        <v>169</v>
      </c>
      <c r="S432" s="217" t="s">
        <v>848</v>
      </c>
      <c r="T432" s="217" t="s">
        <v>850</v>
      </c>
    </row>
    <row r="433" spans="2:20" x14ac:dyDescent="0.3">
      <c r="B433" s="214" t="s">
        <v>667</v>
      </c>
      <c r="C433" s="215" t="s">
        <v>15</v>
      </c>
      <c r="D433" s="216" t="str">
        <f>[2]!HsSetValue(E433,"FCC","Scenario#"&amp;R433&amp;";Years#"&amp;J433&amp;";Period#"&amp;I433&amp;";View#"&amp;S433&amp;";Entity#"&amp;H433&amp;";Data Source#"&amp;K433&amp;";Account#"&amp;F433&amp;";Intercompany#"&amp;L433&amp;";Movement#"&amp;Q433&amp;";Consolidation#"&amp;T433&amp;";Custom1#"&amp;M433&amp;";Custom2#"&amp;N433&amp;";Custom3#"&amp;O433&amp;";Custom4#"&amp;P433&amp;"")</f>
        <v>#Invalid Syntax</v>
      </c>
      <c r="E433" s="216">
        <f>SUMIFS('Investment Analysis'!$H$22:$H$69,'Investment Analysis'!$E$22:$E$69,"Guaranteed Investment Contracts",'Investment Analysis'!$AB$22:$AB$69,"6")</f>
        <v>0</v>
      </c>
      <c r="F433" s="217" t="s">
        <v>674</v>
      </c>
      <c r="G433" s="217" t="s">
        <v>1057</v>
      </c>
      <c r="H433" s="218" t="e">
        <f t="shared" si="161"/>
        <v>#N/A</v>
      </c>
      <c r="I433" s="218" t="str">
        <f t="shared" si="161"/>
        <v>Jun</v>
      </c>
      <c r="J433" s="217" t="str">
        <f t="shared" si="161"/>
        <v>FY25</v>
      </c>
      <c r="K433" s="217" t="str">
        <f t="shared" si="161"/>
        <v>FCCS_Other Data</v>
      </c>
      <c r="L433" s="217" t="str">
        <f t="shared" si="161"/>
        <v>FCCS_No Intercompany</v>
      </c>
      <c r="M433" s="217" t="str">
        <f t="shared" si="162"/>
        <v>No Custom1</v>
      </c>
      <c r="N433" s="217" t="str">
        <f t="shared" si="161"/>
        <v>No Custom2</v>
      </c>
      <c r="O433" s="217" t="s">
        <v>436</v>
      </c>
      <c r="P433" s="217" t="s">
        <v>716</v>
      </c>
      <c r="Q433" s="217" t="str">
        <f t="shared" si="163"/>
        <v>FCCS_ClosingBalance_Input</v>
      </c>
      <c r="R433" s="217" t="s">
        <v>169</v>
      </c>
      <c r="S433" s="217" t="s">
        <v>848</v>
      </c>
      <c r="T433" s="217" t="s">
        <v>850</v>
      </c>
    </row>
    <row r="434" spans="2:20" s="371" customFormat="1" x14ac:dyDescent="0.3">
      <c r="B434" s="214" t="s">
        <v>667</v>
      </c>
      <c r="C434" s="215" t="s">
        <v>15</v>
      </c>
      <c r="D434" s="216" t="str">
        <f>[2]!HsSetValue(E434,"FCC","Scenario#"&amp;R434&amp;";Years#"&amp;J434&amp;";Period#"&amp;I434&amp;";View#"&amp;S434&amp;";Entity#"&amp;H434&amp;";Data Source#"&amp;K434&amp;";Account#"&amp;F434&amp;";Intercompany#"&amp;L434&amp;";Movement#"&amp;Q434&amp;";Consolidation#"&amp;T434&amp;";Custom1#"&amp;M434&amp;";Custom2#"&amp;N434&amp;";Custom3#"&amp;O434&amp;";Custom4#"&amp;P434&amp;"")</f>
        <v>#Invalid Syntax</v>
      </c>
      <c r="E434" s="216">
        <f>SUMIFS('Investment Analysis'!$H$22:$H$69,'Investment Analysis'!$E$22:$E$69,"Guaranteed Investment Contracts",'Investment Analysis'!$AB$22:$AB$69,"5")</f>
        <v>0</v>
      </c>
      <c r="F434" s="217" t="s">
        <v>674</v>
      </c>
      <c r="G434" s="217" t="s">
        <v>1057</v>
      </c>
      <c r="H434" s="218" t="e">
        <f t="shared" si="161"/>
        <v>#N/A</v>
      </c>
      <c r="I434" s="218" t="str">
        <f t="shared" si="161"/>
        <v>Jun</v>
      </c>
      <c r="J434" s="217" t="str">
        <f t="shared" si="161"/>
        <v>FY25</v>
      </c>
      <c r="K434" s="217" t="str">
        <f t="shared" si="161"/>
        <v>FCCS_Other Data</v>
      </c>
      <c r="L434" s="217" t="str">
        <f t="shared" si="161"/>
        <v>FCCS_No Intercompany</v>
      </c>
      <c r="M434" s="217" t="str">
        <f t="shared" si="162"/>
        <v>No Custom1</v>
      </c>
      <c r="N434" s="217" t="str">
        <f t="shared" si="161"/>
        <v>No Custom2</v>
      </c>
      <c r="O434" s="217" t="s">
        <v>434</v>
      </c>
      <c r="P434" s="217" t="s">
        <v>716</v>
      </c>
      <c r="Q434" s="217" t="str">
        <f t="shared" si="163"/>
        <v>FCCS_ClosingBalance_Input</v>
      </c>
      <c r="R434" s="217" t="str">
        <f t="shared" ref="R434:S438" si="164">+R$2</f>
        <v>Actual</v>
      </c>
      <c r="S434" s="217" t="str">
        <f t="shared" si="164"/>
        <v>FCCS_YTD_Input</v>
      </c>
      <c r="T434" s="217" t="s">
        <v>850</v>
      </c>
    </row>
    <row r="435" spans="2:20" s="371" customFormat="1" x14ac:dyDescent="0.3">
      <c r="B435" s="214" t="s">
        <v>667</v>
      </c>
      <c r="C435" s="215" t="s">
        <v>15</v>
      </c>
      <c r="D435" s="216" t="str">
        <f>[2]!HsSetValue(E435,"FCC","Scenario#"&amp;R435&amp;";Years#"&amp;J435&amp;";Period#"&amp;I435&amp;";View#"&amp;S435&amp;";Entity#"&amp;H435&amp;";Data Source#"&amp;K435&amp;";Account#"&amp;F435&amp;";Intercompany#"&amp;L435&amp;";Movement#"&amp;Q435&amp;";Consolidation#"&amp;T435&amp;";Custom1#"&amp;M435&amp;";Custom2#"&amp;N435&amp;";Custom3#"&amp;O435&amp;";Custom4#"&amp;P435&amp;"")</f>
        <v>#Invalid Syntax</v>
      </c>
      <c r="E435" s="216">
        <f>SUMIFS('Investment Analysis'!$H$22:$H$69,'Investment Analysis'!$E$22:$E$69,"Guaranteed Investment Contracts",'Investment Analysis'!$AB$22:$AB$69,"4")</f>
        <v>0</v>
      </c>
      <c r="F435" s="217" t="s">
        <v>674</v>
      </c>
      <c r="G435" s="217" t="s">
        <v>1057</v>
      </c>
      <c r="H435" s="218" t="e">
        <f t="shared" si="161"/>
        <v>#N/A</v>
      </c>
      <c r="I435" s="218" t="str">
        <f t="shared" si="161"/>
        <v>Jun</v>
      </c>
      <c r="J435" s="217" t="str">
        <f t="shared" si="161"/>
        <v>FY25</v>
      </c>
      <c r="K435" s="217" t="str">
        <f t="shared" si="161"/>
        <v>FCCS_Other Data</v>
      </c>
      <c r="L435" s="217" t="str">
        <f t="shared" si="161"/>
        <v>FCCS_No Intercompany</v>
      </c>
      <c r="M435" s="217" t="str">
        <f t="shared" si="162"/>
        <v>No Custom1</v>
      </c>
      <c r="N435" s="217" t="str">
        <f t="shared" si="161"/>
        <v>No Custom2</v>
      </c>
      <c r="O435" s="217" t="s">
        <v>63</v>
      </c>
      <c r="P435" s="217" t="s">
        <v>716</v>
      </c>
      <c r="Q435" s="217" t="str">
        <f t="shared" si="163"/>
        <v>FCCS_ClosingBalance_Input</v>
      </c>
      <c r="R435" s="217" t="str">
        <f t="shared" si="164"/>
        <v>Actual</v>
      </c>
      <c r="S435" s="217" t="str">
        <f t="shared" si="164"/>
        <v>FCCS_YTD_Input</v>
      </c>
      <c r="T435" s="217" t="s">
        <v>850</v>
      </c>
    </row>
    <row r="436" spans="2:20" s="371" customFormat="1" x14ac:dyDescent="0.3">
      <c r="B436" s="214" t="s">
        <v>667</v>
      </c>
      <c r="C436" s="215" t="s">
        <v>15</v>
      </c>
      <c r="D436" s="216" t="str">
        <f>[2]!HsSetValue(E436,"FCC","Scenario#"&amp;R436&amp;";Years#"&amp;J436&amp;";Period#"&amp;I436&amp;";View#"&amp;S436&amp;";Entity#"&amp;H436&amp;";Data Source#"&amp;K436&amp;";Account#"&amp;F436&amp;";Intercompany#"&amp;L436&amp;";Movement#"&amp;Q436&amp;";Consolidation#"&amp;T436&amp;";Custom1#"&amp;M436&amp;";Custom2#"&amp;N436&amp;";Custom3#"&amp;O436&amp;";Custom4#"&amp;P436&amp;"")</f>
        <v>#Invalid Syntax</v>
      </c>
      <c r="E436" s="216">
        <f>SUMIFS('Investment Analysis'!$H$22:$H$69,'Investment Analysis'!$E$22:$E$69,"Guaranteed Investment Contracts",'Investment Analysis'!$AB$22:$AB$69,"3")</f>
        <v>0</v>
      </c>
      <c r="F436" s="217" t="s">
        <v>674</v>
      </c>
      <c r="G436" s="217" t="s">
        <v>1057</v>
      </c>
      <c r="H436" s="218" t="e">
        <f t="shared" si="161"/>
        <v>#N/A</v>
      </c>
      <c r="I436" s="218" t="str">
        <f t="shared" si="161"/>
        <v>Jun</v>
      </c>
      <c r="J436" s="217" t="str">
        <f t="shared" si="161"/>
        <v>FY25</v>
      </c>
      <c r="K436" s="217" t="str">
        <f t="shared" si="161"/>
        <v>FCCS_Other Data</v>
      </c>
      <c r="L436" s="217" t="str">
        <f t="shared" si="161"/>
        <v>FCCS_No Intercompany</v>
      </c>
      <c r="M436" s="217" t="str">
        <f t="shared" si="162"/>
        <v>No Custom1</v>
      </c>
      <c r="N436" s="217" t="str">
        <f t="shared" si="161"/>
        <v>No Custom2</v>
      </c>
      <c r="O436" s="217" t="s">
        <v>622</v>
      </c>
      <c r="P436" s="217" t="s">
        <v>716</v>
      </c>
      <c r="Q436" s="217" t="str">
        <f t="shared" si="163"/>
        <v>FCCS_ClosingBalance_Input</v>
      </c>
      <c r="R436" s="217" t="str">
        <f t="shared" si="164"/>
        <v>Actual</v>
      </c>
      <c r="S436" s="217" t="str">
        <f t="shared" si="164"/>
        <v>FCCS_YTD_Input</v>
      </c>
      <c r="T436" s="217" t="s">
        <v>850</v>
      </c>
    </row>
    <row r="437" spans="2:20" s="371" customFormat="1" x14ac:dyDescent="0.3">
      <c r="B437" s="214" t="s">
        <v>667</v>
      </c>
      <c r="C437" s="215" t="s">
        <v>15</v>
      </c>
      <c r="D437" s="216" t="str">
        <f>[2]!HsSetValue(E437,"FCC","Scenario#"&amp;R437&amp;";Years#"&amp;J437&amp;";Period#"&amp;I437&amp;";View#"&amp;S437&amp;";Entity#"&amp;H437&amp;";Data Source#"&amp;K437&amp;";Account#"&amp;F437&amp;";Intercompany#"&amp;L437&amp;";Movement#"&amp;Q437&amp;";Consolidation#"&amp;T437&amp;";Custom1#"&amp;M437&amp;";Custom2#"&amp;N437&amp;";Custom3#"&amp;O437&amp;";Custom4#"&amp;P437&amp;"")</f>
        <v>#Invalid Syntax</v>
      </c>
      <c r="E437" s="216">
        <f>SUMIFS('Investment Analysis'!$H$22:$H$69,'Investment Analysis'!$E$22:$E$69,"Guaranteed Investment Contracts",'Investment Analysis'!$AB$22:$AB$69,"2")</f>
        <v>0</v>
      </c>
      <c r="F437" s="217" t="s">
        <v>674</v>
      </c>
      <c r="G437" s="217" t="s">
        <v>1057</v>
      </c>
      <c r="H437" s="218" t="e">
        <f t="shared" si="161"/>
        <v>#N/A</v>
      </c>
      <c r="I437" s="218" t="str">
        <f t="shared" si="161"/>
        <v>Jun</v>
      </c>
      <c r="J437" s="217" t="str">
        <f t="shared" si="161"/>
        <v>FY25</v>
      </c>
      <c r="K437" s="217" t="str">
        <f t="shared" si="161"/>
        <v>FCCS_Other Data</v>
      </c>
      <c r="L437" s="217" t="str">
        <f t="shared" si="161"/>
        <v>FCCS_No Intercompany</v>
      </c>
      <c r="M437" s="217" t="str">
        <f t="shared" si="162"/>
        <v>No Custom1</v>
      </c>
      <c r="N437" s="217" t="str">
        <f t="shared" si="161"/>
        <v>No Custom2</v>
      </c>
      <c r="O437" s="217" t="s">
        <v>618</v>
      </c>
      <c r="P437" s="217" t="s">
        <v>716</v>
      </c>
      <c r="Q437" s="217" t="str">
        <f t="shared" si="163"/>
        <v>FCCS_ClosingBalance_Input</v>
      </c>
      <c r="R437" s="217" t="str">
        <f t="shared" si="164"/>
        <v>Actual</v>
      </c>
      <c r="S437" s="217" t="str">
        <f t="shared" si="164"/>
        <v>FCCS_YTD_Input</v>
      </c>
      <c r="T437" s="217" t="s">
        <v>850</v>
      </c>
    </row>
    <row r="438" spans="2:20" s="371" customFormat="1" x14ac:dyDescent="0.3">
      <c r="B438" s="214" t="s">
        <v>667</v>
      </c>
      <c r="C438" s="215" t="s">
        <v>15</v>
      </c>
      <c r="D438" s="216" t="str">
        <f>[2]!HsSetValue(E438,"FCC","Scenario#"&amp;R438&amp;";Years#"&amp;J438&amp;";Period#"&amp;I438&amp;";View#"&amp;S438&amp;";Entity#"&amp;H438&amp;";Data Source#"&amp;K438&amp;";Account#"&amp;F438&amp;";Intercompany#"&amp;L438&amp;";Movement#"&amp;Q438&amp;";Consolidation#"&amp;T438&amp;";Custom1#"&amp;M438&amp;";Custom2#"&amp;N438&amp;";Custom3#"&amp;O438&amp;";Custom4#"&amp;P438&amp;"")</f>
        <v>#Invalid Syntax</v>
      </c>
      <c r="E438" s="216">
        <f>SUMIFS('Investment Analysis'!$H$22:$H$69,'Investment Analysis'!$E$22:$E$69,"Guaranteed Investment Contracts",'Investment Analysis'!$AB$22:$AB$69,"1")</f>
        <v>0</v>
      </c>
      <c r="F438" s="217" t="s">
        <v>674</v>
      </c>
      <c r="G438" s="217" t="s">
        <v>1057</v>
      </c>
      <c r="H438" s="218" t="e">
        <f t="shared" si="161"/>
        <v>#N/A</v>
      </c>
      <c r="I438" s="218" t="str">
        <f t="shared" si="161"/>
        <v>Jun</v>
      </c>
      <c r="J438" s="217" t="str">
        <f t="shared" si="161"/>
        <v>FY25</v>
      </c>
      <c r="K438" s="217" t="str">
        <f t="shared" si="161"/>
        <v>FCCS_Other Data</v>
      </c>
      <c r="L438" s="217" t="str">
        <f t="shared" si="161"/>
        <v>FCCS_No Intercompany</v>
      </c>
      <c r="M438" s="217" t="str">
        <f t="shared" si="162"/>
        <v>No Custom1</v>
      </c>
      <c r="N438" s="217" t="str">
        <f t="shared" si="161"/>
        <v>No Custom2</v>
      </c>
      <c r="O438" s="217" t="s">
        <v>64</v>
      </c>
      <c r="P438" s="217" t="s">
        <v>716</v>
      </c>
      <c r="Q438" s="217" t="str">
        <f t="shared" si="163"/>
        <v>FCCS_ClosingBalance_Input</v>
      </c>
      <c r="R438" s="217" t="str">
        <f t="shared" si="164"/>
        <v>Actual</v>
      </c>
      <c r="S438" s="217" t="str">
        <f t="shared" si="164"/>
        <v>FCCS_YTD_Input</v>
      </c>
      <c r="T438" s="217" t="s">
        <v>850</v>
      </c>
    </row>
    <row r="439" spans="2:20" x14ac:dyDescent="0.3">
      <c r="B439" s="214" t="s">
        <v>667</v>
      </c>
      <c r="C439" s="215" t="s">
        <v>15</v>
      </c>
      <c r="D439" s="216" t="str">
        <f>[2]!HsSetValue(E439,"FCC","Scenario#"&amp;R439&amp;";Years#"&amp;J439&amp;";Period#"&amp;I439&amp;";View#"&amp;S439&amp;";Entity#"&amp;H439&amp;";Data Source#"&amp;K439&amp;";Account#"&amp;F439&amp;";Intercompany#"&amp;L439&amp;";Movement#"&amp;Q439&amp;";Consolidation#"&amp;T439&amp;";Custom1#"&amp;M439&amp;";Custom2#"&amp;N439&amp;";Custom3#"&amp;O439&amp;";Custom4#"&amp;P439&amp;"")</f>
        <v>#Invalid Syntax</v>
      </c>
      <c r="E439" s="216">
        <f>SUMIFS('Investment Analysis'!$H$22:$H$69,'Investment Analysis'!$E$22:$E$69,"Guaranteed Investment Contracts",'Investment Analysis'!$AI$22:$AI$69,"16")</f>
        <v>0</v>
      </c>
      <c r="F439" s="217" t="s">
        <v>674</v>
      </c>
      <c r="G439" s="217" t="s">
        <v>1057</v>
      </c>
      <c r="H439" s="218" t="e">
        <f t="shared" si="161"/>
        <v>#N/A</v>
      </c>
      <c r="I439" s="218" t="str">
        <f t="shared" si="161"/>
        <v>Jun</v>
      </c>
      <c r="J439" s="217" t="str">
        <f t="shared" si="161"/>
        <v>FY25</v>
      </c>
      <c r="K439" s="217" t="str">
        <f t="shared" si="161"/>
        <v>FCCS_Other Data</v>
      </c>
      <c r="L439" s="217" t="str">
        <f t="shared" si="161"/>
        <v>FCCS_No Intercompany</v>
      </c>
      <c r="M439" s="217" t="str">
        <f t="shared" si="162"/>
        <v>No Custom1</v>
      </c>
      <c r="N439" s="217" t="str">
        <f t="shared" si="161"/>
        <v>No Custom2</v>
      </c>
      <c r="O439" s="217" t="s">
        <v>726</v>
      </c>
      <c r="P439" s="217" t="s">
        <v>716</v>
      </c>
      <c r="Q439" s="217" t="str">
        <f t="shared" si="163"/>
        <v>FCCS_ClosingBalance_Input</v>
      </c>
      <c r="R439" s="217" t="s">
        <v>169</v>
      </c>
      <c r="S439" s="217" t="s">
        <v>848</v>
      </c>
      <c r="T439" s="217" t="s">
        <v>850</v>
      </c>
    </row>
    <row r="440" spans="2:20" x14ac:dyDescent="0.3">
      <c r="B440" s="214" t="s">
        <v>667</v>
      </c>
      <c r="C440" s="215" t="s">
        <v>15</v>
      </c>
      <c r="D440" s="216" t="str">
        <f>[2]!HsSetValue(E440,"FCC","Scenario#"&amp;R440&amp;";Years#"&amp;J440&amp;";Period#"&amp;I440&amp;";View#"&amp;S440&amp;";Entity#"&amp;H440&amp;";Data Source#"&amp;K440&amp;";Account#"&amp;F440&amp;";Intercompany#"&amp;L440&amp;";Movement#"&amp;Q440&amp;";Consolidation#"&amp;T440&amp;";Custom1#"&amp;M440&amp;";Custom2#"&amp;N440&amp;";Custom3#"&amp;O440&amp;";Custom4#"&amp;P440&amp;"")</f>
        <v>#Invalid Syntax</v>
      </c>
      <c r="E440" s="216">
        <f>SUMIFS('Investment Analysis'!$H$22:$H$69,'Investment Analysis'!$E$22:$E$69,"Guaranteed Investment Contracts",'Investment Analysis'!$AI$22:$AI$69,"15")</f>
        <v>0</v>
      </c>
      <c r="F440" s="217" t="s">
        <v>674</v>
      </c>
      <c r="G440" s="217" t="s">
        <v>1057</v>
      </c>
      <c r="H440" s="218" t="e">
        <f t="shared" si="161"/>
        <v>#N/A</v>
      </c>
      <c r="I440" s="218" t="str">
        <f t="shared" si="161"/>
        <v>Jun</v>
      </c>
      <c r="J440" s="217" t="str">
        <f t="shared" si="161"/>
        <v>FY25</v>
      </c>
      <c r="K440" s="217" t="str">
        <f t="shared" si="161"/>
        <v>FCCS_Other Data</v>
      </c>
      <c r="L440" s="217" t="str">
        <f t="shared" si="161"/>
        <v>FCCS_No Intercompany</v>
      </c>
      <c r="M440" s="217" t="str">
        <f t="shared" si="162"/>
        <v>No Custom1</v>
      </c>
      <c r="N440" s="217" t="str">
        <f t="shared" si="161"/>
        <v>No Custom2</v>
      </c>
      <c r="O440" s="217" t="s">
        <v>727</v>
      </c>
      <c r="P440" s="217" t="s">
        <v>716</v>
      </c>
      <c r="Q440" s="217" t="str">
        <f t="shared" si="163"/>
        <v>FCCS_ClosingBalance_Input</v>
      </c>
      <c r="R440" s="217" t="s">
        <v>169</v>
      </c>
      <c r="S440" s="217" t="s">
        <v>848</v>
      </c>
      <c r="T440" s="217" t="s">
        <v>850</v>
      </c>
    </row>
    <row r="441" spans="2:20" x14ac:dyDescent="0.3">
      <c r="B441" s="214" t="s">
        <v>667</v>
      </c>
      <c r="C441" s="215" t="s">
        <v>15</v>
      </c>
      <c r="D441" s="216" t="str">
        <f>[2]!HsSetValue(E441,"FCC","Scenario#"&amp;R441&amp;";Years#"&amp;J441&amp;";Period#"&amp;I441&amp;";View#"&amp;S441&amp;";Entity#"&amp;H441&amp;";Data Source#"&amp;K441&amp;";Account#"&amp;F441&amp;";Intercompany#"&amp;L441&amp;";Movement#"&amp;Q441&amp;";Consolidation#"&amp;T441&amp;";Custom1#"&amp;M441&amp;";Custom2#"&amp;N441&amp;";Custom3#"&amp;O441&amp;";Custom4#"&amp;P441&amp;"")</f>
        <v>#Invalid Syntax</v>
      </c>
      <c r="E441" s="216">
        <f>SUMIFS('Investment Analysis'!$H$22:$H$69,'Investment Analysis'!$E$22:$E$69,"Guaranteed Investment Contracts",'Investment Analysis'!$AI$22:$AI$69,"14")</f>
        <v>0</v>
      </c>
      <c r="F441" s="217" t="s">
        <v>674</v>
      </c>
      <c r="G441" s="217" t="s">
        <v>1057</v>
      </c>
      <c r="H441" s="218" t="e">
        <f t="shared" si="161"/>
        <v>#N/A</v>
      </c>
      <c r="I441" s="218" t="str">
        <f t="shared" si="161"/>
        <v>Jun</v>
      </c>
      <c r="J441" s="217" t="str">
        <f t="shared" si="161"/>
        <v>FY25</v>
      </c>
      <c r="K441" s="217" t="str">
        <f t="shared" si="161"/>
        <v>FCCS_Other Data</v>
      </c>
      <c r="L441" s="217" t="str">
        <f t="shared" si="161"/>
        <v>FCCS_No Intercompany</v>
      </c>
      <c r="M441" s="217" t="str">
        <f t="shared" si="162"/>
        <v>No Custom1</v>
      </c>
      <c r="N441" s="217" t="str">
        <f t="shared" si="161"/>
        <v>No Custom2</v>
      </c>
      <c r="O441" s="217" t="s">
        <v>728</v>
      </c>
      <c r="P441" s="217" t="s">
        <v>716</v>
      </c>
      <c r="Q441" s="217" t="str">
        <f t="shared" si="163"/>
        <v>FCCS_ClosingBalance_Input</v>
      </c>
      <c r="R441" s="217" t="s">
        <v>169</v>
      </c>
      <c r="S441" s="217" t="s">
        <v>848</v>
      </c>
      <c r="T441" s="217" t="s">
        <v>850</v>
      </c>
    </row>
    <row r="442" spans="2:20" x14ac:dyDescent="0.3">
      <c r="B442" s="214" t="s">
        <v>667</v>
      </c>
      <c r="C442" s="215" t="s">
        <v>15</v>
      </c>
      <c r="D442" s="216" t="str">
        <f>[2]!HsSetValue(E442,"FCC","Scenario#"&amp;R442&amp;";Years#"&amp;J442&amp;";Period#"&amp;I442&amp;";View#"&amp;S442&amp;";Entity#"&amp;H442&amp;";Data Source#"&amp;K442&amp;";Account#"&amp;F442&amp;";Intercompany#"&amp;L442&amp;";Movement#"&amp;Q442&amp;";Consolidation#"&amp;T442&amp;";Custom1#"&amp;M442&amp;";Custom2#"&amp;N442&amp;";Custom3#"&amp;O442&amp;";Custom4#"&amp;P442&amp;"")</f>
        <v>#Invalid Syntax</v>
      </c>
      <c r="E442" s="216">
        <f>SUMIFS('Investment Analysis'!$H$22:$H$69,'Investment Analysis'!$E$22:$E$69,"Guaranteed Investment Contracts",'Investment Analysis'!$AB$22:$AB$69,"0")+SUMIFS('Investment Analysis'!$H$22:$H$69,'Investment Analysis'!$E$22:$E$69,"Guaranteed Investment Contracts",'Investment Analysis'!$AI$22:$AI$69,"0")</f>
        <v>0</v>
      </c>
      <c r="F442" s="217" t="s">
        <v>674</v>
      </c>
      <c r="G442" s="217" t="s">
        <v>1057</v>
      </c>
      <c r="H442" s="218" t="e">
        <f t="shared" si="161"/>
        <v>#N/A</v>
      </c>
      <c r="I442" s="218" t="str">
        <f t="shared" si="161"/>
        <v>Jun</v>
      </c>
      <c r="J442" s="217" t="str">
        <f t="shared" si="161"/>
        <v>FY25</v>
      </c>
      <c r="K442" s="217" t="str">
        <f t="shared" si="161"/>
        <v>FCCS_Other Data</v>
      </c>
      <c r="L442" s="217" t="str">
        <f t="shared" si="161"/>
        <v>FCCS_No Intercompany</v>
      </c>
      <c r="M442" s="217" t="str">
        <f t="shared" si="162"/>
        <v>No Custom1</v>
      </c>
      <c r="N442" s="217" t="str">
        <f t="shared" si="161"/>
        <v>No Custom2</v>
      </c>
      <c r="O442" s="217" t="s">
        <v>609</v>
      </c>
      <c r="P442" s="217" t="s">
        <v>716</v>
      </c>
      <c r="Q442" s="217" t="str">
        <f t="shared" si="163"/>
        <v>FCCS_ClosingBalance_Input</v>
      </c>
      <c r="R442" s="217" t="s">
        <v>169</v>
      </c>
      <c r="S442" s="217" t="s">
        <v>848</v>
      </c>
      <c r="T442" s="217" t="s">
        <v>850</v>
      </c>
    </row>
    <row r="443" spans="2:20" x14ac:dyDescent="0.3">
      <c r="B443" s="210"/>
      <c r="C443" s="211"/>
      <c r="D443" s="212"/>
      <c r="E443" s="212"/>
    </row>
    <row r="444" spans="2:20" x14ac:dyDescent="0.3">
      <c r="B444" s="219" t="s">
        <v>1014</v>
      </c>
      <c r="C444" s="220" t="s">
        <v>15</v>
      </c>
      <c r="D444" s="221" t="str">
        <f>[2]!HsSetValue(E444,"FCC","Scenario#"&amp;R444&amp;";Years#"&amp;J444&amp;";Period#"&amp;I444&amp;";View#"&amp;S444&amp;";Entity#"&amp;H444&amp;";Data Source#"&amp;K444&amp;";Account#"&amp;F444&amp;";Intercompany#"&amp;L444&amp;";Movement#"&amp;Q444&amp;";Consolidation#"&amp;T444&amp;";Custom1#"&amp;M444&amp;";Custom2#"&amp;N444&amp;";Custom3#"&amp;O444&amp;";Custom4#"&amp;P444&amp;"")</f>
        <v>#Invalid Syntax</v>
      </c>
      <c r="E444" s="221">
        <f>SUMIFS('Investment Analysis'!$H$22:$H$69,'Investment Analysis'!$E$22:$E$69,"Guaranteed Investment Contracts",'Investment Analysis'!$AK$22:$AK$69,"21")</f>
        <v>0</v>
      </c>
      <c r="F444" s="222" t="s">
        <v>675</v>
      </c>
      <c r="G444" s="222" t="s">
        <v>1027</v>
      </c>
      <c r="H444" s="223" t="e">
        <f>+H$2</f>
        <v>#N/A</v>
      </c>
      <c r="I444" s="223" t="str">
        <f t="shared" ref="I444:I448" si="165">+I$2</f>
        <v>Jun</v>
      </c>
      <c r="J444" s="222" t="str">
        <f>+J$2</f>
        <v>FY25</v>
      </c>
      <c r="K444" s="222" t="s">
        <v>843</v>
      </c>
      <c r="L444" s="222" t="s">
        <v>844</v>
      </c>
      <c r="M444" s="222" t="s">
        <v>845</v>
      </c>
      <c r="N444" s="222" t="s">
        <v>846</v>
      </c>
      <c r="O444" s="222" t="s">
        <v>729</v>
      </c>
      <c r="P444" s="222" t="s">
        <v>716</v>
      </c>
      <c r="Q444" s="222" t="str">
        <f t="shared" ref="Q444:Q448" si="166">Q$2</f>
        <v>FCCS_ClosingBalance_Input</v>
      </c>
      <c r="R444" s="222" t="s">
        <v>169</v>
      </c>
      <c r="S444" s="222" t="s">
        <v>848</v>
      </c>
      <c r="T444" s="222" t="s">
        <v>850</v>
      </c>
    </row>
    <row r="445" spans="2:20" x14ac:dyDescent="0.3">
      <c r="B445" s="219" t="s">
        <v>1014</v>
      </c>
      <c r="C445" s="220" t="s">
        <v>15</v>
      </c>
      <c r="D445" s="221" t="str">
        <f>[2]!HsSetValue(E445,"FCC","Scenario#"&amp;R445&amp;";Years#"&amp;J445&amp;";Period#"&amp;I445&amp;";View#"&amp;S445&amp;";Entity#"&amp;H445&amp;";Data Source#"&amp;K445&amp;";Account#"&amp;F445&amp;";Intercompany#"&amp;L445&amp;";Movement#"&amp;Q445&amp;";Consolidation#"&amp;T445&amp;";Custom1#"&amp;M445&amp;";Custom2#"&amp;N445&amp;";Custom3#"&amp;O445&amp;";Custom4#"&amp;P445&amp;"")</f>
        <v>#Invalid Syntax</v>
      </c>
      <c r="E445" s="221">
        <f>SUMIFS('Investment Analysis'!$H$22:$H$69,'Investment Analysis'!$E$22:$E$69,"Guaranteed Investment Contracts",'Investment Analysis'!$AK$22:$AK$69,"22")</f>
        <v>0</v>
      </c>
      <c r="F445" s="222" t="s">
        <v>675</v>
      </c>
      <c r="G445" s="222" t="s">
        <v>1027</v>
      </c>
      <c r="H445" s="223" t="e">
        <f>+H$2</f>
        <v>#N/A</v>
      </c>
      <c r="I445" s="223" t="str">
        <f t="shared" si="165"/>
        <v>Jun</v>
      </c>
      <c r="J445" s="222" t="str">
        <f>+J$2</f>
        <v>FY25</v>
      </c>
      <c r="K445" s="222" t="str">
        <f t="shared" ref="K445:N448" si="167">+K$2</f>
        <v>FCCS_Other Data</v>
      </c>
      <c r="L445" s="222" t="str">
        <f t="shared" si="167"/>
        <v>FCCS_No Intercompany</v>
      </c>
      <c r="M445" s="222" t="str">
        <f>+M$1</f>
        <v>No Custom1</v>
      </c>
      <c r="N445" s="222" t="str">
        <f t="shared" si="167"/>
        <v>No Custom2</v>
      </c>
      <c r="O445" s="222" t="s">
        <v>730</v>
      </c>
      <c r="P445" s="222" t="s">
        <v>716</v>
      </c>
      <c r="Q445" s="222" t="str">
        <f t="shared" si="166"/>
        <v>FCCS_ClosingBalance_Input</v>
      </c>
      <c r="R445" s="222" t="s">
        <v>169</v>
      </c>
      <c r="S445" s="222" t="s">
        <v>848</v>
      </c>
      <c r="T445" s="222" t="s">
        <v>850</v>
      </c>
    </row>
    <row r="446" spans="2:20" x14ac:dyDescent="0.3">
      <c r="B446" s="219" t="s">
        <v>1014</v>
      </c>
      <c r="C446" s="220" t="s">
        <v>15</v>
      </c>
      <c r="D446" s="221" t="str">
        <f>[2]!HsSetValue(E446,"FCC","Scenario#"&amp;R446&amp;";Years#"&amp;J446&amp;";Period#"&amp;I446&amp;";View#"&amp;S446&amp;";Entity#"&amp;H446&amp;";Data Source#"&amp;K446&amp;";Account#"&amp;F446&amp;";Intercompany#"&amp;L446&amp;";Movement#"&amp;Q446&amp;";Consolidation#"&amp;T446&amp;";Custom1#"&amp;M446&amp;";Custom2#"&amp;N446&amp;";Custom3#"&amp;O446&amp;";Custom4#"&amp;P446&amp;"")</f>
        <v>#Invalid Syntax</v>
      </c>
      <c r="E446" s="221">
        <f>SUMIFS('Investment Analysis'!$H$22:$H$69,'Investment Analysis'!$E$22:$E$69,"Guaranteed Investment Contracts",'Investment Analysis'!$AK$22:$AK$69,"23")</f>
        <v>0</v>
      </c>
      <c r="F446" s="222" t="s">
        <v>675</v>
      </c>
      <c r="G446" s="222" t="s">
        <v>1027</v>
      </c>
      <c r="H446" s="223" t="e">
        <f>+H$2</f>
        <v>#N/A</v>
      </c>
      <c r="I446" s="223" t="str">
        <f t="shared" si="165"/>
        <v>Jun</v>
      </c>
      <c r="J446" s="222" t="str">
        <f>+J$2</f>
        <v>FY25</v>
      </c>
      <c r="K446" s="222" t="str">
        <f t="shared" si="167"/>
        <v>FCCS_Other Data</v>
      </c>
      <c r="L446" s="222" t="str">
        <f t="shared" si="167"/>
        <v>FCCS_No Intercompany</v>
      </c>
      <c r="M446" s="222" t="str">
        <f>+M$1</f>
        <v>No Custom1</v>
      </c>
      <c r="N446" s="222" t="str">
        <f t="shared" si="167"/>
        <v>No Custom2</v>
      </c>
      <c r="O446" s="222" t="s">
        <v>731</v>
      </c>
      <c r="P446" s="222" t="s">
        <v>716</v>
      </c>
      <c r="Q446" s="222" t="str">
        <f t="shared" si="166"/>
        <v>FCCS_ClosingBalance_Input</v>
      </c>
      <c r="R446" s="222" t="s">
        <v>169</v>
      </c>
      <c r="S446" s="222" t="s">
        <v>848</v>
      </c>
      <c r="T446" s="222" t="s">
        <v>850</v>
      </c>
    </row>
    <row r="447" spans="2:20" x14ac:dyDescent="0.3">
      <c r="B447" s="219" t="s">
        <v>1014</v>
      </c>
      <c r="C447" s="220" t="s">
        <v>15</v>
      </c>
      <c r="D447" s="221" t="str">
        <f>[2]!HsSetValue(E447,"FCC","Scenario#"&amp;R447&amp;";Years#"&amp;J447&amp;";Period#"&amp;I447&amp;";View#"&amp;S447&amp;";Entity#"&amp;H447&amp;";Data Source#"&amp;K447&amp;";Account#"&amp;F447&amp;";Intercompany#"&amp;L447&amp;";Movement#"&amp;Q447&amp;";Consolidation#"&amp;T447&amp;";Custom1#"&amp;M447&amp;";Custom2#"&amp;N447&amp;";Custom3#"&amp;O447&amp;";Custom4#"&amp;P447&amp;"")</f>
        <v>#Invalid Syntax</v>
      </c>
      <c r="E447" s="221">
        <f>SUMIFS('Investment Analysis'!$H$22:$H$69,'Investment Analysis'!$E$22:$E$69,"Guaranteed Investment Contracts",'Investment Analysis'!$AK$22:$AK$69,"24")</f>
        <v>0</v>
      </c>
      <c r="F447" s="222" t="s">
        <v>675</v>
      </c>
      <c r="G447" s="222" t="s">
        <v>1027</v>
      </c>
      <c r="H447" s="223" t="e">
        <f>+H$2</f>
        <v>#N/A</v>
      </c>
      <c r="I447" s="223" t="str">
        <f t="shared" si="165"/>
        <v>Jun</v>
      </c>
      <c r="J447" s="222" t="str">
        <f>+J$2</f>
        <v>FY25</v>
      </c>
      <c r="K447" s="222" t="str">
        <f t="shared" si="167"/>
        <v>FCCS_Other Data</v>
      </c>
      <c r="L447" s="222" t="str">
        <f t="shared" si="167"/>
        <v>FCCS_No Intercompany</v>
      </c>
      <c r="M447" s="222" t="str">
        <f>+M$1</f>
        <v>No Custom1</v>
      </c>
      <c r="N447" s="222" t="str">
        <f t="shared" si="167"/>
        <v>No Custom2</v>
      </c>
      <c r="O447" s="222" t="s">
        <v>732</v>
      </c>
      <c r="P447" s="222" t="s">
        <v>716</v>
      </c>
      <c r="Q447" s="222" t="str">
        <f t="shared" si="166"/>
        <v>FCCS_ClosingBalance_Input</v>
      </c>
      <c r="R447" s="222" t="s">
        <v>169</v>
      </c>
      <c r="S447" s="222" t="s">
        <v>848</v>
      </c>
      <c r="T447" s="222" t="s">
        <v>850</v>
      </c>
    </row>
    <row r="448" spans="2:20" x14ac:dyDescent="0.3">
      <c r="B448" s="219" t="s">
        <v>1014</v>
      </c>
      <c r="C448" s="220" t="s">
        <v>15</v>
      </c>
      <c r="D448" s="221" t="str">
        <f>[2]!HsSetValue(E448,"FCC","Scenario#"&amp;R448&amp;";Years#"&amp;J448&amp;";Period#"&amp;I448&amp;";View#"&amp;S448&amp;";Entity#"&amp;H448&amp;";Data Source#"&amp;K448&amp;";Account#"&amp;F448&amp;";Intercompany#"&amp;L448&amp;";Movement#"&amp;Q448&amp;";Consolidation#"&amp;T448&amp;";Custom1#"&amp;M448&amp;";Custom2#"&amp;N448&amp;";Custom3#"&amp;O448&amp;";Custom4#"&amp;P448&amp;"")</f>
        <v>#Invalid Syntax</v>
      </c>
      <c r="E448" s="221">
        <f>SUMIFS('Investment Analysis'!$H$22:$H$69,'Investment Analysis'!$E$22:$E$69,"Guaranteed Investment Contracts",'Investment Analysis'!$AK$22:$AK$69,"25")</f>
        <v>0</v>
      </c>
      <c r="F448" s="222" t="s">
        <v>675</v>
      </c>
      <c r="G448" s="222" t="s">
        <v>1027</v>
      </c>
      <c r="H448" s="223" t="e">
        <f>+H$2</f>
        <v>#N/A</v>
      </c>
      <c r="I448" s="223" t="str">
        <f t="shared" si="165"/>
        <v>Jun</v>
      </c>
      <c r="J448" s="222" t="str">
        <f>+J$2</f>
        <v>FY25</v>
      </c>
      <c r="K448" s="222" t="str">
        <f t="shared" si="167"/>
        <v>FCCS_Other Data</v>
      </c>
      <c r="L448" s="222" t="str">
        <f t="shared" si="167"/>
        <v>FCCS_No Intercompany</v>
      </c>
      <c r="M448" s="222" t="str">
        <f>+M$1</f>
        <v>No Custom1</v>
      </c>
      <c r="N448" s="222" t="str">
        <f t="shared" si="167"/>
        <v>No Custom2</v>
      </c>
      <c r="O448" s="222" t="s">
        <v>733</v>
      </c>
      <c r="P448" s="222" t="s">
        <v>716</v>
      </c>
      <c r="Q448" s="222" t="str">
        <f t="shared" si="166"/>
        <v>FCCS_ClosingBalance_Input</v>
      </c>
      <c r="R448" s="222" t="s">
        <v>169</v>
      </c>
      <c r="S448" s="222" t="s">
        <v>848</v>
      </c>
      <c r="T448" s="222" t="s">
        <v>850</v>
      </c>
    </row>
    <row r="450" spans="2:20" x14ac:dyDescent="0.3">
      <c r="B450" s="364" t="s">
        <v>668</v>
      </c>
      <c r="C450" s="365" t="s">
        <v>682</v>
      </c>
      <c r="D450" s="366" t="str">
        <f>[2]!HsSetValue(E450,"FCC","Scenario#"&amp;R450&amp;";Years#"&amp;J450&amp;";Period#"&amp;I450&amp;";View#"&amp;S450&amp;";Entity#"&amp;H450&amp;";Data Source#"&amp;K450&amp;";Account#"&amp;F450&amp;";Intercompany#"&amp;L450&amp;";Movement#"&amp;Q450&amp;";Consolidation#"&amp;T450&amp;";Custom1#"&amp;M450&amp;";Custom2#"&amp;N450&amp;";Custom3#"&amp;O450&amp;";Custom4#"&amp;P450&amp;"")</f>
        <v>#Invalid Syntax</v>
      </c>
      <c r="E450" s="366">
        <f>SUMIF('Investment Analysis'!$E$22:$E$69,'FCC Investments - Load Tab'!C450,'Investment Analysis'!$K$22:$K$69)</f>
        <v>0</v>
      </c>
      <c r="F450" s="367" t="s">
        <v>673</v>
      </c>
      <c r="G450" s="367" t="s">
        <v>705</v>
      </c>
      <c r="H450" s="368" t="e">
        <f t="shared" ref="H450:N454" si="168">+H$2</f>
        <v>#N/A</v>
      </c>
      <c r="I450" s="368" t="str">
        <f t="shared" si="168"/>
        <v>Jun</v>
      </c>
      <c r="J450" s="367" t="str">
        <f t="shared" si="168"/>
        <v>FY25</v>
      </c>
      <c r="K450" s="367" t="s">
        <v>843</v>
      </c>
      <c r="L450" s="367" t="s">
        <v>844</v>
      </c>
      <c r="M450" s="367" t="s">
        <v>845</v>
      </c>
      <c r="N450" s="367" t="s">
        <v>846</v>
      </c>
      <c r="O450" s="367" t="s">
        <v>721</v>
      </c>
      <c r="P450" s="367" t="s">
        <v>717</v>
      </c>
      <c r="Q450" s="367" t="str">
        <f t="shared" ref="Q450:Q454" si="169">Q$2</f>
        <v>FCCS_ClosingBalance_Input</v>
      </c>
      <c r="R450" s="367" t="s">
        <v>169</v>
      </c>
      <c r="S450" s="367" t="s">
        <v>848</v>
      </c>
      <c r="T450" s="367" t="s">
        <v>850</v>
      </c>
    </row>
    <row r="451" spans="2:20" x14ac:dyDescent="0.3">
      <c r="B451" s="364" t="s">
        <v>668</v>
      </c>
      <c r="C451" s="365" t="s">
        <v>682</v>
      </c>
      <c r="D451" s="366" t="str">
        <f>[2]!HsSetValue(E451,"FCC","Scenario#"&amp;R451&amp;";Years#"&amp;J451&amp;";Period#"&amp;I451&amp;";View#"&amp;S451&amp;";Entity#"&amp;H451&amp;";Data Source#"&amp;K451&amp;";Account#"&amp;F451&amp;";Intercompany#"&amp;L451&amp;";Movement#"&amp;Q451&amp;";Consolidation#"&amp;T451&amp;";Custom1#"&amp;M451&amp;";Custom2#"&amp;N451&amp;";Custom3#"&amp;O451&amp;";Custom4#"&amp;P451&amp;"")</f>
        <v>#Invalid Syntax</v>
      </c>
      <c r="E451" s="366">
        <f>SUMIF('Investment Analysis'!$E$22:$E$69,'FCC Investments - Load Tab'!C450,'Investment Analysis'!$L$22:$L$69)</f>
        <v>0</v>
      </c>
      <c r="F451" s="367" t="s">
        <v>673</v>
      </c>
      <c r="G451" s="367" t="s">
        <v>705</v>
      </c>
      <c r="H451" s="368" t="e">
        <f t="shared" si="168"/>
        <v>#N/A</v>
      </c>
      <c r="I451" s="368" t="str">
        <f t="shared" si="168"/>
        <v>Jun</v>
      </c>
      <c r="J451" s="367" t="str">
        <f t="shared" si="168"/>
        <v>FY25</v>
      </c>
      <c r="K451" s="367" t="str">
        <f t="shared" si="168"/>
        <v>FCCS_Other Data</v>
      </c>
      <c r="L451" s="367" t="str">
        <f t="shared" si="168"/>
        <v>FCCS_No Intercompany</v>
      </c>
      <c r="M451" s="367" t="str">
        <f>+M$1</f>
        <v>No Custom1</v>
      </c>
      <c r="N451" s="367" t="str">
        <f t="shared" si="168"/>
        <v>No Custom2</v>
      </c>
      <c r="O451" s="367" t="s">
        <v>722</v>
      </c>
      <c r="P451" s="367" t="s">
        <v>717</v>
      </c>
      <c r="Q451" s="367" t="str">
        <f t="shared" si="169"/>
        <v>FCCS_ClosingBalance_Input</v>
      </c>
      <c r="R451" s="367" t="s">
        <v>169</v>
      </c>
      <c r="S451" s="367" t="s">
        <v>848</v>
      </c>
      <c r="T451" s="367" t="s">
        <v>850</v>
      </c>
    </row>
    <row r="452" spans="2:20" x14ac:dyDescent="0.3">
      <c r="B452" s="364" t="s">
        <v>668</v>
      </c>
      <c r="C452" s="365" t="s">
        <v>682</v>
      </c>
      <c r="D452" s="366" t="str">
        <f>[2]!HsSetValue(E452,"FCC","Scenario#"&amp;R452&amp;";Years#"&amp;J452&amp;";Period#"&amp;I452&amp;";View#"&amp;S452&amp;";Entity#"&amp;H452&amp;";Data Source#"&amp;K452&amp;";Account#"&amp;F452&amp;";Intercompany#"&amp;L452&amp;";Movement#"&amp;Q452&amp;";Consolidation#"&amp;T452&amp;";Custom1#"&amp;M452&amp;";Custom2#"&amp;N452&amp;";Custom3#"&amp;O452&amp;";Custom4#"&amp;P452&amp;"")</f>
        <v>#Invalid Syntax</v>
      </c>
      <c r="E452" s="366">
        <f>SUMIF('Investment Analysis'!$E$22:$E$69,'FCC Investments - Load Tab'!C450,'Investment Analysis'!$M$22:$M$69)</f>
        <v>0</v>
      </c>
      <c r="F452" s="367" t="s">
        <v>673</v>
      </c>
      <c r="G452" s="367" t="s">
        <v>705</v>
      </c>
      <c r="H452" s="368" t="e">
        <f t="shared" si="168"/>
        <v>#N/A</v>
      </c>
      <c r="I452" s="368" t="str">
        <f t="shared" si="168"/>
        <v>Jun</v>
      </c>
      <c r="J452" s="367" t="str">
        <f t="shared" si="168"/>
        <v>FY25</v>
      </c>
      <c r="K452" s="367" t="str">
        <f t="shared" si="168"/>
        <v>FCCS_Other Data</v>
      </c>
      <c r="L452" s="367" t="str">
        <f t="shared" si="168"/>
        <v>FCCS_No Intercompany</v>
      </c>
      <c r="M452" s="367" t="str">
        <f>+M$1</f>
        <v>No Custom1</v>
      </c>
      <c r="N452" s="367" t="str">
        <f t="shared" si="168"/>
        <v>No Custom2</v>
      </c>
      <c r="O452" s="367" t="s">
        <v>723</v>
      </c>
      <c r="P452" s="367" t="s">
        <v>717</v>
      </c>
      <c r="Q452" s="367" t="str">
        <f t="shared" si="169"/>
        <v>FCCS_ClosingBalance_Input</v>
      </c>
      <c r="R452" s="367" t="s">
        <v>169</v>
      </c>
      <c r="S452" s="367" t="s">
        <v>848</v>
      </c>
      <c r="T452" s="367" t="s">
        <v>850</v>
      </c>
    </row>
    <row r="453" spans="2:20" x14ac:dyDescent="0.3">
      <c r="B453" s="364" t="s">
        <v>668</v>
      </c>
      <c r="C453" s="365" t="s">
        <v>682</v>
      </c>
      <c r="D453" s="366" t="str">
        <f>[2]!HsSetValue(E453,"FCC","Scenario#"&amp;R453&amp;";Years#"&amp;J453&amp;";Period#"&amp;I453&amp;";View#"&amp;S453&amp;";Entity#"&amp;H453&amp;";Data Source#"&amp;K453&amp;";Account#"&amp;F453&amp;";Intercompany#"&amp;L453&amp;";Movement#"&amp;Q453&amp;";Consolidation#"&amp;T453&amp;";Custom1#"&amp;M453&amp;";Custom2#"&amp;N453&amp;";Custom3#"&amp;O453&amp;";Custom4#"&amp;P453&amp;"")</f>
        <v>#Invalid Syntax</v>
      </c>
      <c r="E453" s="366">
        <f>SUMIF('Investment Analysis'!$E$22:$E$69,'FCC Investments - Load Tab'!C453,'Investment Analysis'!$N$22:$N$69)</f>
        <v>0</v>
      </c>
      <c r="F453" s="367" t="s">
        <v>673</v>
      </c>
      <c r="G453" s="367" t="s">
        <v>705</v>
      </c>
      <c r="H453" s="368" t="e">
        <f t="shared" si="168"/>
        <v>#N/A</v>
      </c>
      <c r="I453" s="368" t="str">
        <f t="shared" si="168"/>
        <v>Jun</v>
      </c>
      <c r="J453" s="367" t="str">
        <f t="shared" si="168"/>
        <v>FY25</v>
      </c>
      <c r="K453" s="367" t="str">
        <f t="shared" si="168"/>
        <v>FCCS_Other Data</v>
      </c>
      <c r="L453" s="367" t="str">
        <f t="shared" si="168"/>
        <v>FCCS_No Intercompany</v>
      </c>
      <c r="M453" s="367" t="str">
        <f>+M$1</f>
        <v>No Custom1</v>
      </c>
      <c r="N453" s="367" t="str">
        <f t="shared" si="168"/>
        <v>No Custom2</v>
      </c>
      <c r="O453" s="367" t="s">
        <v>724</v>
      </c>
      <c r="P453" s="367" t="s">
        <v>717</v>
      </c>
      <c r="Q453" s="367" t="str">
        <f t="shared" si="169"/>
        <v>FCCS_ClosingBalance_Input</v>
      </c>
      <c r="R453" s="367" t="s">
        <v>169</v>
      </c>
      <c r="S453" s="367" t="s">
        <v>848</v>
      </c>
      <c r="T453" s="367" t="s">
        <v>850</v>
      </c>
    </row>
    <row r="454" spans="2:20" x14ac:dyDescent="0.3">
      <c r="B454" s="364" t="s">
        <v>668</v>
      </c>
      <c r="C454" s="365" t="s">
        <v>682</v>
      </c>
      <c r="D454" s="366" t="str">
        <f>[2]!HsSetValue(E454,"FCC","Scenario#"&amp;R454&amp;";Years#"&amp;J454&amp;";Period#"&amp;I454&amp;";View#"&amp;S454&amp;";Entity#"&amp;H454&amp;";Data Source#"&amp;K454&amp;";Account#"&amp;F454&amp;";Intercompany#"&amp;L454&amp;";Movement#"&amp;Q454&amp;";Consolidation#"&amp;T454&amp;";Custom1#"&amp;M454&amp;";Custom2#"&amp;N454&amp;";Custom3#"&amp;O454&amp;";Custom4#"&amp;P454&amp;"")</f>
        <v>#Invalid Syntax</v>
      </c>
      <c r="E454" s="366">
        <f>SUMIF('Investment Analysis'!$E$2:$E$69,'FCC Investments - Load Tab'!C454,'Investment Analysis'!$O$2:$O$69)</f>
        <v>0</v>
      </c>
      <c r="F454" s="367" t="s">
        <v>673</v>
      </c>
      <c r="G454" s="367" t="s">
        <v>705</v>
      </c>
      <c r="H454" s="368" t="e">
        <f t="shared" si="168"/>
        <v>#N/A</v>
      </c>
      <c r="I454" s="368" t="str">
        <f t="shared" si="168"/>
        <v>Jun</v>
      </c>
      <c r="J454" s="367" t="str">
        <f t="shared" si="168"/>
        <v>FY25</v>
      </c>
      <c r="K454" s="367" t="str">
        <f t="shared" si="168"/>
        <v>FCCS_Other Data</v>
      </c>
      <c r="L454" s="367" t="str">
        <f t="shared" si="168"/>
        <v>FCCS_No Intercompany</v>
      </c>
      <c r="M454" s="367" t="str">
        <f>+M$1</f>
        <v>No Custom1</v>
      </c>
      <c r="N454" s="367" t="str">
        <f t="shared" si="168"/>
        <v>No Custom2</v>
      </c>
      <c r="O454" s="367" t="s">
        <v>725</v>
      </c>
      <c r="P454" s="367" t="s">
        <v>717</v>
      </c>
      <c r="Q454" s="367" t="str">
        <f t="shared" si="169"/>
        <v>FCCS_ClosingBalance_Input</v>
      </c>
      <c r="R454" s="367" t="s">
        <v>169</v>
      </c>
      <c r="S454" s="367" t="s">
        <v>848</v>
      </c>
      <c r="T454" s="367" t="s">
        <v>850</v>
      </c>
    </row>
    <row r="455" spans="2:20" x14ac:dyDescent="0.3">
      <c r="B455" s="210"/>
      <c r="C455" s="211"/>
      <c r="D455" s="212"/>
      <c r="E455" s="212"/>
    </row>
    <row r="456" spans="2:20" x14ac:dyDescent="0.3">
      <c r="B456" s="214" t="s">
        <v>667</v>
      </c>
      <c r="C456" s="215" t="s">
        <v>682</v>
      </c>
      <c r="D456" s="216" t="str">
        <f>[2]!HsSetValue(E456,"FCC","Scenario#"&amp;R456&amp;";Years#"&amp;J456&amp;";Period#"&amp;I456&amp;";View#"&amp;S456&amp;";Entity#"&amp;H456&amp;";Data Source#"&amp;K456&amp;";Account#"&amp;F456&amp;";Intercompany#"&amp;L456&amp;";Movement#"&amp;Q456&amp;";Consolidation#"&amp;T456&amp;";Custom1#"&amp;M456&amp;";Custom2#"&amp;N456&amp;";Custom3#"&amp;O456&amp;";Custom4#"&amp;P456&amp;"")</f>
        <v>#Invalid Syntax</v>
      </c>
      <c r="E456" s="216">
        <f>SUMIFS('Investment Analysis'!$H$22:$H$69,'Investment Analysis'!$E$22:$E$69,"Insurance Contracts",'Investment Analysis'!$AB$22:$AB$69,"10")</f>
        <v>0</v>
      </c>
      <c r="F456" s="217" t="s">
        <v>674</v>
      </c>
      <c r="G456" s="217" t="s">
        <v>1058</v>
      </c>
      <c r="H456" s="218" t="e">
        <f t="shared" ref="H456:N469" si="170">+H$2</f>
        <v>#N/A</v>
      </c>
      <c r="I456" s="218" t="str">
        <f t="shared" si="170"/>
        <v>Jun</v>
      </c>
      <c r="J456" s="217" t="str">
        <f t="shared" si="170"/>
        <v>FY25</v>
      </c>
      <c r="K456" s="217" t="str">
        <f t="shared" si="170"/>
        <v>FCCS_Other Data</v>
      </c>
      <c r="L456" s="217" t="str">
        <f t="shared" si="170"/>
        <v>FCCS_No Intercompany</v>
      </c>
      <c r="M456" s="217" t="str">
        <f t="shared" ref="M456:M469" si="171">+M$1</f>
        <v>No Custom1</v>
      </c>
      <c r="N456" s="217" t="str">
        <f t="shared" si="170"/>
        <v>No Custom2</v>
      </c>
      <c r="O456" s="217" t="s">
        <v>433</v>
      </c>
      <c r="P456" s="217" t="s">
        <v>717</v>
      </c>
      <c r="Q456" s="217" t="str">
        <f t="shared" ref="Q456:Q469" si="172">Q$2</f>
        <v>FCCS_ClosingBalance_Input</v>
      </c>
      <c r="R456" s="217" t="s">
        <v>169</v>
      </c>
      <c r="S456" s="217" t="s">
        <v>848</v>
      </c>
      <c r="T456" s="217" t="s">
        <v>850</v>
      </c>
    </row>
    <row r="457" spans="2:20" x14ac:dyDescent="0.3">
      <c r="B457" s="214" t="s">
        <v>667</v>
      </c>
      <c r="C457" s="215" t="s">
        <v>682</v>
      </c>
      <c r="D457" s="216" t="str">
        <f>[2]!HsSetValue(E457,"FCC","Scenario#"&amp;R457&amp;";Years#"&amp;J457&amp;";Period#"&amp;I457&amp;";View#"&amp;S457&amp;";Entity#"&amp;H457&amp;";Data Source#"&amp;K457&amp;";Account#"&amp;F457&amp;";Intercompany#"&amp;L457&amp;";Movement#"&amp;Q457&amp;";Consolidation#"&amp;T457&amp;";Custom1#"&amp;M457&amp;";Custom2#"&amp;N457&amp;";Custom3#"&amp;O457&amp;";Custom4#"&amp;P457&amp;"")</f>
        <v>#Invalid Syntax</v>
      </c>
      <c r="E457" s="216">
        <f>SUMIFS('Investment Analysis'!$H$22:$H$69,'Investment Analysis'!$E$22:$E$69,"Insurance Contracts",'Investment Analysis'!$AB$22:$AB$69,"9")</f>
        <v>0</v>
      </c>
      <c r="F457" s="217" t="s">
        <v>674</v>
      </c>
      <c r="G457" s="217" t="s">
        <v>1058</v>
      </c>
      <c r="H457" s="218" t="e">
        <f t="shared" si="170"/>
        <v>#N/A</v>
      </c>
      <c r="I457" s="218" t="str">
        <f t="shared" si="170"/>
        <v>Jun</v>
      </c>
      <c r="J457" s="217" t="str">
        <f t="shared" si="170"/>
        <v>FY25</v>
      </c>
      <c r="K457" s="217" t="str">
        <f t="shared" si="170"/>
        <v>FCCS_Other Data</v>
      </c>
      <c r="L457" s="217" t="str">
        <f t="shared" si="170"/>
        <v>FCCS_No Intercompany</v>
      </c>
      <c r="M457" s="217" t="str">
        <f t="shared" si="171"/>
        <v>No Custom1</v>
      </c>
      <c r="N457" s="217" t="str">
        <f t="shared" si="170"/>
        <v>No Custom2</v>
      </c>
      <c r="O457" s="217" t="s">
        <v>596</v>
      </c>
      <c r="P457" s="217" t="s">
        <v>717</v>
      </c>
      <c r="Q457" s="217" t="str">
        <f t="shared" si="172"/>
        <v>FCCS_ClosingBalance_Input</v>
      </c>
      <c r="R457" s="217" t="s">
        <v>169</v>
      </c>
      <c r="S457" s="217" t="s">
        <v>848</v>
      </c>
      <c r="T457" s="217" t="s">
        <v>850</v>
      </c>
    </row>
    <row r="458" spans="2:20" x14ac:dyDescent="0.3">
      <c r="B458" s="214" t="s">
        <v>667</v>
      </c>
      <c r="C458" s="215" t="s">
        <v>682</v>
      </c>
      <c r="D458" s="216" t="str">
        <f>[2]!HsSetValue(E458,"FCC","Scenario#"&amp;R458&amp;";Years#"&amp;J458&amp;";Period#"&amp;I458&amp;";View#"&amp;S458&amp;";Entity#"&amp;H458&amp;";Data Source#"&amp;K458&amp;";Account#"&amp;F458&amp;";Intercompany#"&amp;L458&amp;";Movement#"&amp;Q458&amp;";Consolidation#"&amp;T458&amp;";Custom1#"&amp;M458&amp;";Custom2#"&amp;N458&amp;";Custom3#"&amp;O458&amp;";Custom4#"&amp;P458&amp;"")</f>
        <v>#Invalid Syntax</v>
      </c>
      <c r="E458" s="216">
        <f>SUMIFS('Investment Analysis'!$H$22:$H$69,'Investment Analysis'!$E$22:$E$69,"Insurance Contracts",'Investment Analysis'!$AB$22:$AB$69,"8")</f>
        <v>0</v>
      </c>
      <c r="F458" s="217" t="s">
        <v>674</v>
      </c>
      <c r="G458" s="217" t="s">
        <v>1058</v>
      </c>
      <c r="H458" s="218" t="e">
        <f t="shared" si="170"/>
        <v>#N/A</v>
      </c>
      <c r="I458" s="218" t="str">
        <f t="shared" si="170"/>
        <v>Jun</v>
      </c>
      <c r="J458" s="217" t="str">
        <f t="shared" si="170"/>
        <v>FY25</v>
      </c>
      <c r="K458" s="217" t="str">
        <f t="shared" si="170"/>
        <v>FCCS_Other Data</v>
      </c>
      <c r="L458" s="217" t="str">
        <f t="shared" si="170"/>
        <v>FCCS_No Intercompany</v>
      </c>
      <c r="M458" s="217" t="str">
        <f t="shared" si="171"/>
        <v>No Custom1</v>
      </c>
      <c r="N458" s="217" t="str">
        <f t="shared" si="170"/>
        <v>No Custom2</v>
      </c>
      <c r="O458" s="217" t="s">
        <v>61</v>
      </c>
      <c r="P458" s="217" t="s">
        <v>717</v>
      </c>
      <c r="Q458" s="217" t="str">
        <f t="shared" si="172"/>
        <v>FCCS_ClosingBalance_Input</v>
      </c>
      <c r="R458" s="217" t="s">
        <v>169</v>
      </c>
      <c r="S458" s="217" t="s">
        <v>848</v>
      </c>
      <c r="T458" s="217" t="s">
        <v>850</v>
      </c>
    </row>
    <row r="459" spans="2:20" x14ac:dyDescent="0.3">
      <c r="B459" s="214" t="s">
        <v>667</v>
      </c>
      <c r="C459" s="215" t="s">
        <v>682</v>
      </c>
      <c r="D459" s="216" t="str">
        <f>[2]!HsSetValue(E459,"FCC","Scenario#"&amp;R459&amp;";Years#"&amp;J459&amp;";Period#"&amp;I459&amp;";View#"&amp;S459&amp;";Entity#"&amp;H459&amp;";Data Source#"&amp;K459&amp;";Account#"&amp;F459&amp;";Intercompany#"&amp;L459&amp;";Movement#"&amp;Q459&amp;";Consolidation#"&amp;T459&amp;";Custom1#"&amp;M459&amp;";Custom2#"&amp;N459&amp;";Custom3#"&amp;O459&amp;";Custom4#"&amp;P459&amp;"")</f>
        <v>#Invalid Syntax</v>
      </c>
      <c r="E459" s="216">
        <f>SUMIFS('Investment Analysis'!$H$22:$H$69,'Investment Analysis'!$E$22:$E$69,"Insurance Contracts",'Investment Analysis'!$AB$22:$AB$69,"7")</f>
        <v>0</v>
      </c>
      <c r="F459" s="217" t="s">
        <v>674</v>
      </c>
      <c r="G459" s="217" t="s">
        <v>1058</v>
      </c>
      <c r="H459" s="218" t="e">
        <f t="shared" si="170"/>
        <v>#N/A</v>
      </c>
      <c r="I459" s="218" t="str">
        <f t="shared" si="170"/>
        <v>Jun</v>
      </c>
      <c r="J459" s="217" t="str">
        <f t="shared" si="170"/>
        <v>FY25</v>
      </c>
      <c r="K459" s="217" t="str">
        <f t="shared" si="170"/>
        <v>FCCS_Other Data</v>
      </c>
      <c r="L459" s="217" t="str">
        <f t="shared" si="170"/>
        <v>FCCS_No Intercompany</v>
      </c>
      <c r="M459" s="217" t="str">
        <f t="shared" si="171"/>
        <v>No Custom1</v>
      </c>
      <c r="N459" s="217" t="str">
        <f t="shared" si="170"/>
        <v>No Custom2</v>
      </c>
      <c r="O459" s="217" t="s">
        <v>62</v>
      </c>
      <c r="P459" s="217" t="s">
        <v>717</v>
      </c>
      <c r="Q459" s="217" t="str">
        <f t="shared" si="172"/>
        <v>FCCS_ClosingBalance_Input</v>
      </c>
      <c r="R459" s="217" t="s">
        <v>169</v>
      </c>
      <c r="S459" s="217" t="s">
        <v>848</v>
      </c>
      <c r="T459" s="217" t="s">
        <v>850</v>
      </c>
    </row>
    <row r="460" spans="2:20" x14ac:dyDescent="0.3">
      <c r="B460" s="214" t="s">
        <v>667</v>
      </c>
      <c r="C460" s="215" t="s">
        <v>682</v>
      </c>
      <c r="D460" s="216" t="str">
        <f>[2]!HsSetValue(E460,"FCC","Scenario#"&amp;R460&amp;";Years#"&amp;J460&amp;";Period#"&amp;I460&amp;";View#"&amp;S460&amp;";Entity#"&amp;H460&amp;";Data Source#"&amp;K460&amp;";Account#"&amp;F460&amp;";Intercompany#"&amp;L460&amp;";Movement#"&amp;Q460&amp;";Consolidation#"&amp;T460&amp;";Custom1#"&amp;M460&amp;";Custom2#"&amp;N460&amp;";Custom3#"&amp;O460&amp;";Custom4#"&amp;P460&amp;"")</f>
        <v>#Invalid Syntax</v>
      </c>
      <c r="E460" s="216">
        <f>SUMIFS('Investment Analysis'!$H$22:$H$69,'Investment Analysis'!$E$22:$E$69,"Insurance Contracts",'Investment Analysis'!$AB$22:$AB$69,"6")</f>
        <v>0</v>
      </c>
      <c r="F460" s="217" t="s">
        <v>674</v>
      </c>
      <c r="G460" s="217" t="s">
        <v>1058</v>
      </c>
      <c r="H460" s="218" t="e">
        <f t="shared" si="170"/>
        <v>#N/A</v>
      </c>
      <c r="I460" s="218" t="str">
        <f t="shared" si="170"/>
        <v>Jun</v>
      </c>
      <c r="J460" s="217" t="str">
        <f t="shared" si="170"/>
        <v>FY25</v>
      </c>
      <c r="K460" s="217" t="str">
        <f t="shared" si="170"/>
        <v>FCCS_Other Data</v>
      </c>
      <c r="L460" s="217" t="str">
        <f t="shared" si="170"/>
        <v>FCCS_No Intercompany</v>
      </c>
      <c r="M460" s="217" t="str">
        <f t="shared" si="171"/>
        <v>No Custom1</v>
      </c>
      <c r="N460" s="217" t="str">
        <f t="shared" si="170"/>
        <v>No Custom2</v>
      </c>
      <c r="O460" s="217" t="s">
        <v>436</v>
      </c>
      <c r="P460" s="217" t="s">
        <v>717</v>
      </c>
      <c r="Q460" s="217" t="str">
        <f t="shared" si="172"/>
        <v>FCCS_ClosingBalance_Input</v>
      </c>
      <c r="R460" s="217" t="s">
        <v>169</v>
      </c>
      <c r="S460" s="217" t="s">
        <v>848</v>
      </c>
      <c r="T460" s="217" t="s">
        <v>850</v>
      </c>
    </row>
    <row r="461" spans="2:20" s="371" customFormat="1" x14ac:dyDescent="0.3">
      <c r="B461" s="214" t="s">
        <v>667</v>
      </c>
      <c r="C461" s="215" t="s">
        <v>682</v>
      </c>
      <c r="D461" s="216" t="str">
        <f>[2]!HsSetValue(E461,"FCC","Scenario#"&amp;R461&amp;";Years#"&amp;J461&amp;";Period#"&amp;I461&amp;";View#"&amp;S461&amp;";Entity#"&amp;H461&amp;";Data Source#"&amp;K461&amp;";Account#"&amp;F461&amp;";Intercompany#"&amp;L461&amp;";Movement#"&amp;Q461&amp;";Consolidation#"&amp;T461&amp;";Custom1#"&amp;M461&amp;";Custom2#"&amp;N461&amp;";Custom3#"&amp;O461&amp;";Custom4#"&amp;P461&amp;"")</f>
        <v>#Invalid Syntax</v>
      </c>
      <c r="E461" s="216">
        <f>SUMIFS('Investment Analysis'!$H$22:$H$69,'Investment Analysis'!$E$22:$E$69,"Insurance Contracts",'Investment Analysis'!$AB$22:$AB$69,"5")</f>
        <v>0</v>
      </c>
      <c r="F461" s="217" t="s">
        <v>674</v>
      </c>
      <c r="G461" s="217" t="s">
        <v>1058</v>
      </c>
      <c r="H461" s="218" t="e">
        <f t="shared" si="170"/>
        <v>#N/A</v>
      </c>
      <c r="I461" s="218" t="str">
        <f t="shared" si="170"/>
        <v>Jun</v>
      </c>
      <c r="J461" s="217" t="str">
        <f t="shared" si="170"/>
        <v>FY25</v>
      </c>
      <c r="K461" s="217" t="str">
        <f t="shared" si="170"/>
        <v>FCCS_Other Data</v>
      </c>
      <c r="L461" s="217" t="str">
        <f t="shared" si="170"/>
        <v>FCCS_No Intercompany</v>
      </c>
      <c r="M461" s="217" t="str">
        <f t="shared" si="171"/>
        <v>No Custom1</v>
      </c>
      <c r="N461" s="217" t="str">
        <f t="shared" si="170"/>
        <v>No Custom2</v>
      </c>
      <c r="O461" s="217" t="s">
        <v>434</v>
      </c>
      <c r="P461" s="217" t="s">
        <v>717</v>
      </c>
      <c r="Q461" s="217" t="str">
        <f t="shared" si="172"/>
        <v>FCCS_ClosingBalance_Input</v>
      </c>
      <c r="R461" s="217" t="str">
        <f t="shared" ref="R461:S465" si="173">+R$2</f>
        <v>Actual</v>
      </c>
      <c r="S461" s="217" t="str">
        <f t="shared" si="173"/>
        <v>FCCS_YTD_Input</v>
      </c>
      <c r="T461" s="217" t="s">
        <v>850</v>
      </c>
    </row>
    <row r="462" spans="2:20" s="371" customFormat="1" x14ac:dyDescent="0.3">
      <c r="B462" s="214" t="s">
        <v>667</v>
      </c>
      <c r="C462" s="215" t="s">
        <v>682</v>
      </c>
      <c r="D462" s="216" t="str">
        <f>[2]!HsSetValue(E462,"FCC","Scenario#"&amp;R462&amp;";Years#"&amp;J462&amp;";Period#"&amp;I462&amp;";View#"&amp;S462&amp;";Entity#"&amp;H462&amp;";Data Source#"&amp;K462&amp;";Account#"&amp;F462&amp;";Intercompany#"&amp;L462&amp;";Movement#"&amp;Q462&amp;";Consolidation#"&amp;T462&amp;";Custom1#"&amp;M462&amp;";Custom2#"&amp;N462&amp;";Custom3#"&amp;O462&amp;";Custom4#"&amp;P462&amp;"")</f>
        <v>#Invalid Syntax</v>
      </c>
      <c r="E462" s="216">
        <f>SUMIFS('Investment Analysis'!$H$22:$H$69,'Investment Analysis'!$E$22:$E$69,"Insurance Contracts",'Investment Analysis'!$AB$22:$AB$69,"4")</f>
        <v>0</v>
      </c>
      <c r="F462" s="217" t="s">
        <v>674</v>
      </c>
      <c r="G462" s="217" t="s">
        <v>1058</v>
      </c>
      <c r="H462" s="218" t="e">
        <f t="shared" si="170"/>
        <v>#N/A</v>
      </c>
      <c r="I462" s="218" t="str">
        <f t="shared" si="170"/>
        <v>Jun</v>
      </c>
      <c r="J462" s="217" t="str">
        <f t="shared" si="170"/>
        <v>FY25</v>
      </c>
      <c r="K462" s="217" t="str">
        <f t="shared" si="170"/>
        <v>FCCS_Other Data</v>
      </c>
      <c r="L462" s="217" t="str">
        <f t="shared" si="170"/>
        <v>FCCS_No Intercompany</v>
      </c>
      <c r="M462" s="217" t="str">
        <f t="shared" si="171"/>
        <v>No Custom1</v>
      </c>
      <c r="N462" s="217" t="str">
        <f t="shared" si="170"/>
        <v>No Custom2</v>
      </c>
      <c r="O462" s="217" t="s">
        <v>63</v>
      </c>
      <c r="P462" s="217" t="s">
        <v>717</v>
      </c>
      <c r="Q462" s="217" t="str">
        <f t="shared" si="172"/>
        <v>FCCS_ClosingBalance_Input</v>
      </c>
      <c r="R462" s="217" t="str">
        <f t="shared" si="173"/>
        <v>Actual</v>
      </c>
      <c r="S462" s="217" t="str">
        <f t="shared" si="173"/>
        <v>FCCS_YTD_Input</v>
      </c>
      <c r="T462" s="217" t="s">
        <v>850</v>
      </c>
    </row>
    <row r="463" spans="2:20" s="371" customFormat="1" x14ac:dyDescent="0.3">
      <c r="B463" s="214" t="s">
        <v>667</v>
      </c>
      <c r="C463" s="215" t="s">
        <v>682</v>
      </c>
      <c r="D463" s="216" t="str">
        <f>[2]!HsSetValue(E463,"FCC","Scenario#"&amp;R463&amp;";Years#"&amp;J463&amp;";Period#"&amp;I463&amp;";View#"&amp;S463&amp;";Entity#"&amp;H463&amp;";Data Source#"&amp;K463&amp;";Account#"&amp;F463&amp;";Intercompany#"&amp;L463&amp;";Movement#"&amp;Q463&amp;";Consolidation#"&amp;T463&amp;";Custom1#"&amp;M463&amp;";Custom2#"&amp;N463&amp;";Custom3#"&amp;O463&amp;";Custom4#"&amp;P463&amp;"")</f>
        <v>#Invalid Syntax</v>
      </c>
      <c r="E463" s="216">
        <f>SUMIFS('Investment Analysis'!$H$22:$H$69,'Investment Analysis'!$E$22:$E$69,"Insurance Contracts",'Investment Analysis'!$AB$22:$AB$69,"3")</f>
        <v>0</v>
      </c>
      <c r="F463" s="217" t="s">
        <v>674</v>
      </c>
      <c r="G463" s="217" t="s">
        <v>1058</v>
      </c>
      <c r="H463" s="218" t="e">
        <f t="shared" si="170"/>
        <v>#N/A</v>
      </c>
      <c r="I463" s="218" t="str">
        <f t="shared" si="170"/>
        <v>Jun</v>
      </c>
      <c r="J463" s="217" t="str">
        <f t="shared" si="170"/>
        <v>FY25</v>
      </c>
      <c r="K463" s="217" t="str">
        <f t="shared" si="170"/>
        <v>FCCS_Other Data</v>
      </c>
      <c r="L463" s="217" t="str">
        <f t="shared" si="170"/>
        <v>FCCS_No Intercompany</v>
      </c>
      <c r="M463" s="217" t="str">
        <f t="shared" si="171"/>
        <v>No Custom1</v>
      </c>
      <c r="N463" s="217" t="str">
        <f t="shared" si="170"/>
        <v>No Custom2</v>
      </c>
      <c r="O463" s="217" t="s">
        <v>622</v>
      </c>
      <c r="P463" s="217" t="s">
        <v>717</v>
      </c>
      <c r="Q463" s="217" t="str">
        <f t="shared" si="172"/>
        <v>FCCS_ClosingBalance_Input</v>
      </c>
      <c r="R463" s="217" t="str">
        <f t="shared" si="173"/>
        <v>Actual</v>
      </c>
      <c r="S463" s="217" t="str">
        <f t="shared" si="173"/>
        <v>FCCS_YTD_Input</v>
      </c>
      <c r="T463" s="217" t="s">
        <v>850</v>
      </c>
    </row>
    <row r="464" spans="2:20" s="371" customFormat="1" x14ac:dyDescent="0.3">
      <c r="B464" s="214" t="s">
        <v>667</v>
      </c>
      <c r="C464" s="215" t="s">
        <v>682</v>
      </c>
      <c r="D464" s="216" t="str">
        <f>[2]!HsSetValue(E464,"FCC","Scenario#"&amp;R464&amp;";Years#"&amp;J464&amp;";Period#"&amp;I464&amp;";View#"&amp;S464&amp;";Entity#"&amp;H464&amp;";Data Source#"&amp;K464&amp;";Account#"&amp;F464&amp;";Intercompany#"&amp;L464&amp;";Movement#"&amp;Q464&amp;";Consolidation#"&amp;T464&amp;";Custom1#"&amp;M464&amp;";Custom2#"&amp;N464&amp;";Custom3#"&amp;O464&amp;";Custom4#"&amp;P464&amp;"")</f>
        <v>#Invalid Syntax</v>
      </c>
      <c r="E464" s="216">
        <f>SUMIFS('Investment Analysis'!$H$22:$H$69,'Investment Analysis'!$E$22:$E$69,"Insurance Contracts",'Investment Analysis'!$AB$22:$AB$69,"2")</f>
        <v>0</v>
      </c>
      <c r="F464" s="217" t="s">
        <v>674</v>
      </c>
      <c r="G464" s="217" t="s">
        <v>1058</v>
      </c>
      <c r="H464" s="218" t="e">
        <f t="shared" si="170"/>
        <v>#N/A</v>
      </c>
      <c r="I464" s="218" t="str">
        <f t="shared" si="170"/>
        <v>Jun</v>
      </c>
      <c r="J464" s="217" t="str">
        <f t="shared" si="170"/>
        <v>FY25</v>
      </c>
      <c r="K464" s="217" t="str">
        <f t="shared" si="170"/>
        <v>FCCS_Other Data</v>
      </c>
      <c r="L464" s="217" t="str">
        <f t="shared" si="170"/>
        <v>FCCS_No Intercompany</v>
      </c>
      <c r="M464" s="217" t="str">
        <f t="shared" si="171"/>
        <v>No Custom1</v>
      </c>
      <c r="N464" s="217" t="str">
        <f t="shared" si="170"/>
        <v>No Custom2</v>
      </c>
      <c r="O464" s="217" t="s">
        <v>618</v>
      </c>
      <c r="P464" s="217" t="s">
        <v>717</v>
      </c>
      <c r="Q464" s="217" t="str">
        <f t="shared" si="172"/>
        <v>FCCS_ClosingBalance_Input</v>
      </c>
      <c r="R464" s="217" t="str">
        <f t="shared" si="173"/>
        <v>Actual</v>
      </c>
      <c r="S464" s="217" t="str">
        <f t="shared" si="173"/>
        <v>FCCS_YTD_Input</v>
      </c>
      <c r="T464" s="217" t="s">
        <v>850</v>
      </c>
    </row>
    <row r="465" spans="2:20" s="371" customFormat="1" x14ac:dyDescent="0.3">
      <c r="B465" s="214" t="s">
        <v>667</v>
      </c>
      <c r="C465" s="215" t="s">
        <v>682</v>
      </c>
      <c r="D465" s="216" t="str">
        <f>[2]!HsSetValue(E465,"FCC","Scenario#"&amp;R465&amp;";Years#"&amp;J465&amp;";Period#"&amp;I465&amp;";View#"&amp;S465&amp;";Entity#"&amp;H465&amp;";Data Source#"&amp;K465&amp;";Account#"&amp;F465&amp;";Intercompany#"&amp;L465&amp;";Movement#"&amp;Q465&amp;";Consolidation#"&amp;T465&amp;";Custom1#"&amp;M465&amp;";Custom2#"&amp;N465&amp;";Custom3#"&amp;O465&amp;";Custom4#"&amp;P465&amp;"")</f>
        <v>#Invalid Syntax</v>
      </c>
      <c r="E465" s="216">
        <f>SUMIFS('Investment Analysis'!$H$22:$H$69,'Investment Analysis'!$E$22:$E$69,"Insurance Contracts",'Investment Analysis'!$AB$22:$AB$69,"1")</f>
        <v>0</v>
      </c>
      <c r="F465" s="217" t="s">
        <v>674</v>
      </c>
      <c r="G465" s="217" t="s">
        <v>1058</v>
      </c>
      <c r="H465" s="218" t="e">
        <f t="shared" si="170"/>
        <v>#N/A</v>
      </c>
      <c r="I465" s="218" t="str">
        <f t="shared" si="170"/>
        <v>Jun</v>
      </c>
      <c r="J465" s="217" t="str">
        <f t="shared" si="170"/>
        <v>FY25</v>
      </c>
      <c r="K465" s="217" t="str">
        <f t="shared" si="170"/>
        <v>FCCS_Other Data</v>
      </c>
      <c r="L465" s="217" t="str">
        <f t="shared" si="170"/>
        <v>FCCS_No Intercompany</v>
      </c>
      <c r="M465" s="217" t="str">
        <f t="shared" si="171"/>
        <v>No Custom1</v>
      </c>
      <c r="N465" s="217" t="str">
        <f t="shared" si="170"/>
        <v>No Custom2</v>
      </c>
      <c r="O465" s="217" t="s">
        <v>64</v>
      </c>
      <c r="P465" s="217" t="s">
        <v>717</v>
      </c>
      <c r="Q465" s="217" t="str">
        <f t="shared" si="172"/>
        <v>FCCS_ClosingBalance_Input</v>
      </c>
      <c r="R465" s="217" t="str">
        <f t="shared" si="173"/>
        <v>Actual</v>
      </c>
      <c r="S465" s="217" t="str">
        <f t="shared" si="173"/>
        <v>FCCS_YTD_Input</v>
      </c>
      <c r="T465" s="217" t="s">
        <v>850</v>
      </c>
    </row>
    <row r="466" spans="2:20" x14ac:dyDescent="0.3">
      <c r="B466" s="214" t="s">
        <v>667</v>
      </c>
      <c r="C466" s="215" t="s">
        <v>682</v>
      </c>
      <c r="D466" s="216" t="str">
        <f>[2]!HsSetValue(E466,"FCC","Scenario#"&amp;R466&amp;";Years#"&amp;J466&amp;";Period#"&amp;I466&amp;";View#"&amp;S466&amp;";Entity#"&amp;H466&amp;";Data Source#"&amp;K466&amp;";Account#"&amp;F466&amp;";Intercompany#"&amp;L466&amp;";Movement#"&amp;Q466&amp;";Consolidation#"&amp;T466&amp;";Custom1#"&amp;M466&amp;";Custom2#"&amp;N466&amp;";Custom3#"&amp;O466&amp;";Custom4#"&amp;P466&amp;"")</f>
        <v>#Invalid Syntax</v>
      </c>
      <c r="E466" s="216">
        <f>SUMIFS('Investment Analysis'!$H$22:$H$69,'Investment Analysis'!$E$22:$E$69,"Insurance Contracts",'Investment Analysis'!$AI$22:$AI$69,"16")</f>
        <v>0</v>
      </c>
      <c r="F466" s="217" t="s">
        <v>674</v>
      </c>
      <c r="G466" s="217" t="s">
        <v>1058</v>
      </c>
      <c r="H466" s="218" t="e">
        <f t="shared" si="170"/>
        <v>#N/A</v>
      </c>
      <c r="I466" s="218" t="str">
        <f t="shared" si="170"/>
        <v>Jun</v>
      </c>
      <c r="J466" s="217" t="str">
        <f t="shared" si="170"/>
        <v>FY25</v>
      </c>
      <c r="K466" s="217" t="str">
        <f t="shared" si="170"/>
        <v>FCCS_Other Data</v>
      </c>
      <c r="L466" s="217" t="str">
        <f t="shared" si="170"/>
        <v>FCCS_No Intercompany</v>
      </c>
      <c r="M466" s="217" t="str">
        <f t="shared" si="171"/>
        <v>No Custom1</v>
      </c>
      <c r="N466" s="217" t="str">
        <f t="shared" si="170"/>
        <v>No Custom2</v>
      </c>
      <c r="O466" s="217" t="s">
        <v>726</v>
      </c>
      <c r="P466" s="217" t="s">
        <v>717</v>
      </c>
      <c r="Q466" s="217" t="str">
        <f t="shared" si="172"/>
        <v>FCCS_ClosingBalance_Input</v>
      </c>
      <c r="R466" s="217" t="s">
        <v>169</v>
      </c>
      <c r="S466" s="217" t="s">
        <v>848</v>
      </c>
      <c r="T466" s="217" t="s">
        <v>850</v>
      </c>
    </row>
    <row r="467" spans="2:20" x14ac:dyDescent="0.3">
      <c r="B467" s="214" t="s">
        <v>667</v>
      </c>
      <c r="C467" s="215" t="s">
        <v>682</v>
      </c>
      <c r="D467" s="216" t="str">
        <f>[2]!HsSetValue(E467,"FCC","Scenario#"&amp;R467&amp;";Years#"&amp;J467&amp;";Period#"&amp;I467&amp;";View#"&amp;S467&amp;";Entity#"&amp;H467&amp;";Data Source#"&amp;K467&amp;";Account#"&amp;F467&amp;";Intercompany#"&amp;L467&amp;";Movement#"&amp;Q467&amp;";Consolidation#"&amp;T467&amp;";Custom1#"&amp;M467&amp;";Custom2#"&amp;N467&amp;";Custom3#"&amp;O467&amp;";Custom4#"&amp;P467&amp;"")</f>
        <v>#Invalid Syntax</v>
      </c>
      <c r="E467" s="216">
        <f>SUMIFS('Investment Analysis'!$H$22:$H$69,'Investment Analysis'!$E$22:$E$69,"Insurance Contracts",'Investment Analysis'!$AI$22:$AI$69,"15")</f>
        <v>0</v>
      </c>
      <c r="F467" s="217" t="s">
        <v>674</v>
      </c>
      <c r="G467" s="217" t="s">
        <v>1058</v>
      </c>
      <c r="H467" s="218" t="e">
        <f t="shared" si="170"/>
        <v>#N/A</v>
      </c>
      <c r="I467" s="218" t="str">
        <f t="shared" si="170"/>
        <v>Jun</v>
      </c>
      <c r="J467" s="217" t="str">
        <f t="shared" si="170"/>
        <v>FY25</v>
      </c>
      <c r="K467" s="217" t="str">
        <f t="shared" si="170"/>
        <v>FCCS_Other Data</v>
      </c>
      <c r="L467" s="217" t="str">
        <f t="shared" si="170"/>
        <v>FCCS_No Intercompany</v>
      </c>
      <c r="M467" s="217" t="str">
        <f t="shared" si="171"/>
        <v>No Custom1</v>
      </c>
      <c r="N467" s="217" t="str">
        <f t="shared" si="170"/>
        <v>No Custom2</v>
      </c>
      <c r="O467" s="217" t="s">
        <v>727</v>
      </c>
      <c r="P467" s="217" t="s">
        <v>717</v>
      </c>
      <c r="Q467" s="217" t="str">
        <f t="shared" si="172"/>
        <v>FCCS_ClosingBalance_Input</v>
      </c>
      <c r="R467" s="217" t="s">
        <v>169</v>
      </c>
      <c r="S467" s="217" t="s">
        <v>848</v>
      </c>
      <c r="T467" s="217" t="s">
        <v>850</v>
      </c>
    </row>
    <row r="468" spans="2:20" x14ac:dyDescent="0.3">
      <c r="B468" s="214" t="s">
        <v>667</v>
      </c>
      <c r="C468" s="215" t="s">
        <v>682</v>
      </c>
      <c r="D468" s="216" t="str">
        <f>[2]!HsSetValue(E468,"FCC","Scenario#"&amp;R468&amp;";Years#"&amp;J468&amp;";Period#"&amp;I468&amp;";View#"&amp;S468&amp;";Entity#"&amp;H468&amp;";Data Source#"&amp;K468&amp;";Account#"&amp;F468&amp;";Intercompany#"&amp;L468&amp;";Movement#"&amp;Q468&amp;";Consolidation#"&amp;T468&amp;";Custom1#"&amp;M468&amp;";Custom2#"&amp;N468&amp;";Custom3#"&amp;O468&amp;";Custom4#"&amp;P468&amp;"")</f>
        <v>#Invalid Syntax</v>
      </c>
      <c r="E468" s="216">
        <f>SUMIFS('Investment Analysis'!$H$22:$H$69,'Investment Analysis'!$E$22:$E$69,"Insurance Contracts",'Investment Analysis'!$AI$22:$AI$69,"14")</f>
        <v>0</v>
      </c>
      <c r="F468" s="217" t="s">
        <v>674</v>
      </c>
      <c r="G468" s="217" t="s">
        <v>1058</v>
      </c>
      <c r="H468" s="218" t="e">
        <f t="shared" si="170"/>
        <v>#N/A</v>
      </c>
      <c r="I468" s="218" t="str">
        <f t="shared" si="170"/>
        <v>Jun</v>
      </c>
      <c r="J468" s="217" t="str">
        <f t="shared" si="170"/>
        <v>FY25</v>
      </c>
      <c r="K468" s="217" t="str">
        <f t="shared" si="170"/>
        <v>FCCS_Other Data</v>
      </c>
      <c r="L468" s="217" t="str">
        <f t="shared" si="170"/>
        <v>FCCS_No Intercompany</v>
      </c>
      <c r="M468" s="217" t="str">
        <f t="shared" si="171"/>
        <v>No Custom1</v>
      </c>
      <c r="N468" s="217" t="str">
        <f t="shared" si="170"/>
        <v>No Custom2</v>
      </c>
      <c r="O468" s="217" t="s">
        <v>728</v>
      </c>
      <c r="P468" s="217" t="s">
        <v>717</v>
      </c>
      <c r="Q468" s="217" t="str">
        <f t="shared" si="172"/>
        <v>FCCS_ClosingBalance_Input</v>
      </c>
      <c r="R468" s="217" t="s">
        <v>169</v>
      </c>
      <c r="S468" s="217" t="s">
        <v>848</v>
      </c>
      <c r="T468" s="217" t="s">
        <v>850</v>
      </c>
    </row>
    <row r="469" spans="2:20" x14ac:dyDescent="0.3">
      <c r="B469" s="214" t="s">
        <v>667</v>
      </c>
      <c r="C469" s="215" t="s">
        <v>682</v>
      </c>
      <c r="D469" s="216" t="str">
        <f>[2]!HsSetValue(E469,"FCC","Scenario#"&amp;R469&amp;";Years#"&amp;J469&amp;";Period#"&amp;I469&amp;";View#"&amp;S469&amp;";Entity#"&amp;H469&amp;";Data Source#"&amp;K469&amp;";Account#"&amp;F469&amp;";Intercompany#"&amp;L469&amp;";Movement#"&amp;Q469&amp;";Consolidation#"&amp;T469&amp;";Custom1#"&amp;M469&amp;";Custom2#"&amp;N469&amp;";Custom3#"&amp;O469&amp;";Custom4#"&amp;P469&amp;"")</f>
        <v>#Invalid Syntax</v>
      </c>
      <c r="E469" s="216">
        <f>SUMIFS('Investment Analysis'!$H$22:$H$69,'Investment Analysis'!$E$22:$E$69,"Insurance Contracts",'Investment Analysis'!$AB$22:$AB$69,"0")+SUMIFS('Investment Analysis'!$H$22:$H$69,'Investment Analysis'!$E$22:$E$69,"Insurance Contracts",'Investment Analysis'!$AI$22:$AI$69,"0")</f>
        <v>0</v>
      </c>
      <c r="F469" s="217" t="s">
        <v>674</v>
      </c>
      <c r="G469" s="217" t="s">
        <v>1058</v>
      </c>
      <c r="H469" s="218" t="e">
        <f t="shared" si="170"/>
        <v>#N/A</v>
      </c>
      <c r="I469" s="218" t="str">
        <f t="shared" si="170"/>
        <v>Jun</v>
      </c>
      <c r="J469" s="217" t="str">
        <f t="shared" si="170"/>
        <v>FY25</v>
      </c>
      <c r="K469" s="217" t="str">
        <f t="shared" si="170"/>
        <v>FCCS_Other Data</v>
      </c>
      <c r="L469" s="217" t="str">
        <f t="shared" si="170"/>
        <v>FCCS_No Intercompany</v>
      </c>
      <c r="M469" s="217" t="str">
        <f t="shared" si="171"/>
        <v>No Custom1</v>
      </c>
      <c r="N469" s="217" t="str">
        <f t="shared" si="170"/>
        <v>No Custom2</v>
      </c>
      <c r="O469" s="217" t="s">
        <v>609</v>
      </c>
      <c r="P469" s="217" t="s">
        <v>717</v>
      </c>
      <c r="Q469" s="217" t="str">
        <f t="shared" si="172"/>
        <v>FCCS_ClosingBalance_Input</v>
      </c>
      <c r="R469" s="217" t="s">
        <v>169</v>
      </c>
      <c r="S469" s="217" t="s">
        <v>848</v>
      </c>
      <c r="T469" s="217" t="s">
        <v>850</v>
      </c>
    </row>
    <row r="470" spans="2:20" x14ac:dyDescent="0.3">
      <c r="B470" s="210"/>
      <c r="C470" s="211"/>
      <c r="D470" s="212"/>
      <c r="E470" s="212"/>
    </row>
    <row r="471" spans="2:20" x14ac:dyDescent="0.3">
      <c r="B471" s="219" t="s">
        <v>1014</v>
      </c>
      <c r="C471" s="220" t="s">
        <v>682</v>
      </c>
      <c r="D471" s="221" t="str">
        <f>[2]!HsSetValue(E471,"FCC","Scenario#"&amp;R471&amp;";Years#"&amp;J471&amp;";Period#"&amp;I471&amp;";View#"&amp;S471&amp;";Entity#"&amp;H471&amp;";Data Source#"&amp;K471&amp;";Account#"&amp;F471&amp;";Intercompany#"&amp;L471&amp;";Movement#"&amp;Q471&amp;";Consolidation#"&amp;T471&amp;";Custom1#"&amp;M471&amp;";Custom2#"&amp;N471&amp;";Custom3#"&amp;O471&amp;";Custom4#"&amp;P471&amp;"")</f>
        <v>#Invalid Syntax</v>
      </c>
      <c r="E471" s="221">
        <f>SUMIFS('Investment Analysis'!$H$22:$H$69,'Investment Analysis'!$E$22:$E$69,"Insurance Contracts",'Investment Analysis'!$AK$22:$AK$69,"21")</f>
        <v>0</v>
      </c>
      <c r="F471" s="222" t="s">
        <v>675</v>
      </c>
      <c r="G471" s="222" t="s">
        <v>1028</v>
      </c>
      <c r="H471" s="223" t="e">
        <f t="shared" ref="H471:N475" si="174">+H$2</f>
        <v>#N/A</v>
      </c>
      <c r="I471" s="223" t="str">
        <f t="shared" si="174"/>
        <v>Jun</v>
      </c>
      <c r="J471" s="222" t="str">
        <f t="shared" si="174"/>
        <v>FY25</v>
      </c>
      <c r="K471" s="222" t="s">
        <v>843</v>
      </c>
      <c r="L471" s="222" t="s">
        <v>844</v>
      </c>
      <c r="M471" s="222" t="s">
        <v>845</v>
      </c>
      <c r="N471" s="222" t="s">
        <v>846</v>
      </c>
      <c r="O471" s="222" t="s">
        <v>729</v>
      </c>
      <c r="P471" s="222" t="s">
        <v>717</v>
      </c>
      <c r="Q471" s="222" t="str">
        <f t="shared" ref="Q471:Q475" si="175">Q$2</f>
        <v>FCCS_ClosingBalance_Input</v>
      </c>
      <c r="R471" s="222" t="s">
        <v>169</v>
      </c>
      <c r="S471" s="222" t="s">
        <v>848</v>
      </c>
      <c r="T471" s="222" t="s">
        <v>850</v>
      </c>
    </row>
    <row r="472" spans="2:20" x14ac:dyDescent="0.3">
      <c r="B472" s="219" t="s">
        <v>1014</v>
      </c>
      <c r="C472" s="220" t="s">
        <v>682</v>
      </c>
      <c r="D472" s="221" t="str">
        <f>[2]!HsSetValue(E472,"FCC","Scenario#"&amp;R472&amp;";Years#"&amp;J472&amp;";Period#"&amp;I472&amp;";View#"&amp;S472&amp;";Entity#"&amp;H472&amp;";Data Source#"&amp;K472&amp;";Account#"&amp;F472&amp;";Intercompany#"&amp;L472&amp;";Movement#"&amp;Q472&amp;";Consolidation#"&amp;T472&amp;";Custom1#"&amp;M472&amp;";Custom2#"&amp;N472&amp;";Custom3#"&amp;O472&amp;";Custom4#"&amp;P472&amp;"")</f>
        <v>#Invalid Syntax</v>
      </c>
      <c r="E472" s="221">
        <f>SUMIFS('Investment Analysis'!$H$22:$H$69,'Investment Analysis'!$E$22:$E$69,"Insurance Contracts",'Investment Analysis'!$AK$22:$AK$69,"22")</f>
        <v>0</v>
      </c>
      <c r="F472" s="222" t="s">
        <v>675</v>
      </c>
      <c r="G472" s="222" t="s">
        <v>1028</v>
      </c>
      <c r="H472" s="223" t="e">
        <f t="shared" si="174"/>
        <v>#N/A</v>
      </c>
      <c r="I472" s="223" t="str">
        <f t="shared" si="174"/>
        <v>Jun</v>
      </c>
      <c r="J472" s="222" t="str">
        <f t="shared" si="174"/>
        <v>FY25</v>
      </c>
      <c r="K472" s="222" t="str">
        <f t="shared" si="174"/>
        <v>FCCS_Other Data</v>
      </c>
      <c r="L472" s="222" t="str">
        <f t="shared" si="174"/>
        <v>FCCS_No Intercompany</v>
      </c>
      <c r="M472" s="222" t="str">
        <f>+M$1</f>
        <v>No Custom1</v>
      </c>
      <c r="N472" s="222" t="str">
        <f t="shared" si="174"/>
        <v>No Custom2</v>
      </c>
      <c r="O472" s="222" t="s">
        <v>730</v>
      </c>
      <c r="P472" s="222" t="s">
        <v>717</v>
      </c>
      <c r="Q472" s="222" t="str">
        <f t="shared" si="175"/>
        <v>FCCS_ClosingBalance_Input</v>
      </c>
      <c r="R472" s="222" t="s">
        <v>169</v>
      </c>
      <c r="S472" s="222" t="s">
        <v>848</v>
      </c>
      <c r="T472" s="222" t="s">
        <v>850</v>
      </c>
    </row>
    <row r="473" spans="2:20" x14ac:dyDescent="0.3">
      <c r="B473" s="219" t="s">
        <v>1014</v>
      </c>
      <c r="C473" s="220" t="s">
        <v>682</v>
      </c>
      <c r="D473" s="221" t="str">
        <f>[2]!HsSetValue(E473,"FCC","Scenario#"&amp;R473&amp;";Years#"&amp;J473&amp;";Period#"&amp;I473&amp;";View#"&amp;S473&amp;";Entity#"&amp;H473&amp;";Data Source#"&amp;K473&amp;";Account#"&amp;F473&amp;";Intercompany#"&amp;L473&amp;";Movement#"&amp;Q473&amp;";Consolidation#"&amp;T473&amp;";Custom1#"&amp;M473&amp;";Custom2#"&amp;N473&amp;";Custom3#"&amp;O473&amp;";Custom4#"&amp;P473&amp;"")</f>
        <v>#Invalid Syntax</v>
      </c>
      <c r="E473" s="221">
        <f>SUMIFS('Investment Analysis'!$H$22:$H$69,'Investment Analysis'!$E$22:$E$69,"Insurance Contracts",'Investment Analysis'!$AK$22:$AK$69,"23")</f>
        <v>0</v>
      </c>
      <c r="F473" s="222" t="s">
        <v>675</v>
      </c>
      <c r="G473" s="222" t="s">
        <v>1028</v>
      </c>
      <c r="H473" s="223" t="e">
        <f t="shared" si="174"/>
        <v>#N/A</v>
      </c>
      <c r="I473" s="223" t="str">
        <f t="shared" si="174"/>
        <v>Jun</v>
      </c>
      <c r="J473" s="222" t="str">
        <f t="shared" si="174"/>
        <v>FY25</v>
      </c>
      <c r="K473" s="222" t="str">
        <f t="shared" si="174"/>
        <v>FCCS_Other Data</v>
      </c>
      <c r="L473" s="222" t="str">
        <f t="shared" si="174"/>
        <v>FCCS_No Intercompany</v>
      </c>
      <c r="M473" s="222" t="str">
        <f>+M$1</f>
        <v>No Custom1</v>
      </c>
      <c r="N473" s="222" t="str">
        <f t="shared" si="174"/>
        <v>No Custom2</v>
      </c>
      <c r="O473" s="222" t="s">
        <v>731</v>
      </c>
      <c r="P473" s="222" t="s">
        <v>717</v>
      </c>
      <c r="Q473" s="222" t="str">
        <f t="shared" si="175"/>
        <v>FCCS_ClosingBalance_Input</v>
      </c>
      <c r="R473" s="222" t="s">
        <v>169</v>
      </c>
      <c r="S473" s="222" t="s">
        <v>848</v>
      </c>
      <c r="T473" s="222" t="s">
        <v>850</v>
      </c>
    </row>
    <row r="474" spans="2:20" x14ac:dyDescent="0.3">
      <c r="B474" s="219" t="s">
        <v>1014</v>
      </c>
      <c r="C474" s="220" t="s">
        <v>682</v>
      </c>
      <c r="D474" s="221" t="str">
        <f>[2]!HsSetValue(E474,"FCC","Scenario#"&amp;R474&amp;";Years#"&amp;J474&amp;";Period#"&amp;I474&amp;";View#"&amp;S474&amp;";Entity#"&amp;H474&amp;";Data Source#"&amp;K474&amp;";Account#"&amp;F474&amp;";Intercompany#"&amp;L474&amp;";Movement#"&amp;Q474&amp;";Consolidation#"&amp;T474&amp;";Custom1#"&amp;M474&amp;";Custom2#"&amp;N474&amp;";Custom3#"&amp;O474&amp;";Custom4#"&amp;P474&amp;"")</f>
        <v>#Invalid Syntax</v>
      </c>
      <c r="E474" s="221">
        <f>SUMIFS('Investment Analysis'!$H$22:$H$69,'Investment Analysis'!$E$22:$E$69,"Insurance Contracts",'Investment Analysis'!$AK$22:$AK$69,"24")</f>
        <v>0</v>
      </c>
      <c r="F474" s="222" t="s">
        <v>675</v>
      </c>
      <c r="G474" s="222" t="s">
        <v>1028</v>
      </c>
      <c r="H474" s="223" t="e">
        <f t="shared" si="174"/>
        <v>#N/A</v>
      </c>
      <c r="I474" s="223" t="str">
        <f t="shared" si="174"/>
        <v>Jun</v>
      </c>
      <c r="J474" s="222" t="str">
        <f t="shared" si="174"/>
        <v>FY25</v>
      </c>
      <c r="K474" s="222" t="str">
        <f t="shared" si="174"/>
        <v>FCCS_Other Data</v>
      </c>
      <c r="L474" s="222" t="str">
        <f t="shared" si="174"/>
        <v>FCCS_No Intercompany</v>
      </c>
      <c r="M474" s="222" t="str">
        <f>+M$1</f>
        <v>No Custom1</v>
      </c>
      <c r="N474" s="222" t="str">
        <f t="shared" si="174"/>
        <v>No Custom2</v>
      </c>
      <c r="O474" s="222" t="s">
        <v>732</v>
      </c>
      <c r="P474" s="222" t="s">
        <v>717</v>
      </c>
      <c r="Q474" s="222" t="str">
        <f t="shared" si="175"/>
        <v>FCCS_ClosingBalance_Input</v>
      </c>
      <c r="R474" s="222" t="s">
        <v>169</v>
      </c>
      <c r="S474" s="222" t="s">
        <v>848</v>
      </c>
      <c r="T474" s="222" t="s">
        <v>850</v>
      </c>
    </row>
    <row r="475" spans="2:20" x14ac:dyDescent="0.3">
      <c r="B475" s="219" t="s">
        <v>1014</v>
      </c>
      <c r="C475" s="220" t="s">
        <v>682</v>
      </c>
      <c r="D475" s="221" t="str">
        <f>[2]!HsSetValue(E475,"FCC","Scenario#"&amp;R475&amp;";Years#"&amp;J475&amp;";Period#"&amp;I475&amp;";View#"&amp;S475&amp;";Entity#"&amp;H475&amp;";Data Source#"&amp;K475&amp;";Account#"&amp;F475&amp;";Intercompany#"&amp;L475&amp;";Movement#"&amp;Q475&amp;";Consolidation#"&amp;T475&amp;";Custom1#"&amp;M475&amp;";Custom2#"&amp;N475&amp;";Custom3#"&amp;O475&amp;";Custom4#"&amp;P475&amp;"")</f>
        <v>#Invalid Syntax</v>
      </c>
      <c r="E475" s="221">
        <f>SUMIFS('Investment Analysis'!$H$22:$H$69,'Investment Analysis'!$E$22:$E$69,"Insurance Contracts",'Investment Analysis'!$AK$22:$AK$69,"25")</f>
        <v>0</v>
      </c>
      <c r="F475" s="222" t="s">
        <v>675</v>
      </c>
      <c r="G475" s="222" t="s">
        <v>1028</v>
      </c>
      <c r="H475" s="223" t="e">
        <f t="shared" si="174"/>
        <v>#N/A</v>
      </c>
      <c r="I475" s="223" t="str">
        <f t="shared" si="174"/>
        <v>Jun</v>
      </c>
      <c r="J475" s="222" t="str">
        <f t="shared" si="174"/>
        <v>FY25</v>
      </c>
      <c r="K475" s="222" t="str">
        <f t="shared" si="174"/>
        <v>FCCS_Other Data</v>
      </c>
      <c r="L475" s="222" t="str">
        <f t="shared" si="174"/>
        <v>FCCS_No Intercompany</v>
      </c>
      <c r="M475" s="222" t="str">
        <f>+M$1</f>
        <v>No Custom1</v>
      </c>
      <c r="N475" s="222" t="str">
        <f t="shared" si="174"/>
        <v>No Custom2</v>
      </c>
      <c r="O475" s="222" t="s">
        <v>733</v>
      </c>
      <c r="P475" s="222" t="s">
        <v>717</v>
      </c>
      <c r="Q475" s="222" t="str">
        <f t="shared" si="175"/>
        <v>FCCS_ClosingBalance_Input</v>
      </c>
      <c r="R475" s="222" t="s">
        <v>169</v>
      </c>
      <c r="S475" s="222" t="s">
        <v>848</v>
      </c>
      <c r="T475" s="222" t="s">
        <v>850</v>
      </c>
    </row>
    <row r="476" spans="2:20" x14ac:dyDescent="0.3">
      <c r="C476" s="193"/>
    </row>
    <row r="477" spans="2:20" x14ac:dyDescent="0.3">
      <c r="B477" s="364" t="s">
        <v>668</v>
      </c>
      <c r="C477" s="365" t="s">
        <v>683</v>
      </c>
      <c r="D477" s="366" t="str">
        <f>[2]!HsSetValue(E477,"FCC","Scenario#"&amp;R477&amp;";Years#"&amp;J477&amp;";Period#"&amp;I477&amp;";View#"&amp;S477&amp;";Entity#"&amp;H477&amp;";Data Source#"&amp;K477&amp;";Account#"&amp;F477&amp;";Intercompany#"&amp;L477&amp;";Movement#"&amp;Q477&amp;";Consolidation#"&amp;T477&amp;";Custom1#"&amp;M477&amp;";Custom2#"&amp;N477&amp;";Custom3#"&amp;O477&amp;";Custom4#"&amp;P477&amp;"")</f>
        <v>#Invalid Syntax</v>
      </c>
      <c r="E477" s="366">
        <f>SUMIF('Investment Analysis'!$E$22:$E$69,'FCC Investments - Load Tab'!C477,'Investment Analysis'!$K$22:$K$69)</f>
        <v>0</v>
      </c>
      <c r="F477" s="367" t="s">
        <v>673</v>
      </c>
      <c r="G477" s="367" t="s">
        <v>706</v>
      </c>
      <c r="H477" s="368" t="e">
        <f t="shared" ref="H477:N481" si="176">+H$2</f>
        <v>#N/A</v>
      </c>
      <c r="I477" s="368" t="str">
        <f t="shared" si="176"/>
        <v>Jun</v>
      </c>
      <c r="J477" s="367" t="str">
        <f t="shared" si="176"/>
        <v>FY25</v>
      </c>
      <c r="K477" s="367" t="s">
        <v>843</v>
      </c>
      <c r="L477" s="367" t="s">
        <v>844</v>
      </c>
      <c r="M477" s="367" t="s">
        <v>845</v>
      </c>
      <c r="N477" s="367" t="s">
        <v>846</v>
      </c>
      <c r="O477" s="367" t="s">
        <v>721</v>
      </c>
      <c r="P477" s="367" t="s">
        <v>718</v>
      </c>
      <c r="Q477" s="367" t="str">
        <f t="shared" ref="Q477:Q481" si="177">Q$2</f>
        <v>FCCS_ClosingBalance_Input</v>
      </c>
      <c r="R477" s="367" t="s">
        <v>169</v>
      </c>
      <c r="S477" s="367" t="s">
        <v>848</v>
      </c>
      <c r="T477" s="367" t="s">
        <v>850</v>
      </c>
    </row>
    <row r="478" spans="2:20" x14ac:dyDescent="0.3">
      <c r="B478" s="364" t="s">
        <v>668</v>
      </c>
      <c r="C478" s="365" t="s">
        <v>683</v>
      </c>
      <c r="D478" s="366" t="str">
        <f>[2]!HsSetValue(E478,"FCC","Scenario#"&amp;R478&amp;";Years#"&amp;J478&amp;";Period#"&amp;I478&amp;";View#"&amp;S478&amp;";Entity#"&amp;H478&amp;";Data Source#"&amp;K478&amp;";Account#"&amp;F478&amp;";Intercompany#"&amp;L478&amp;";Movement#"&amp;Q478&amp;";Consolidation#"&amp;T478&amp;";Custom1#"&amp;M478&amp;";Custom2#"&amp;N478&amp;";Custom3#"&amp;O478&amp;";Custom4#"&amp;P478&amp;"")</f>
        <v>#Invalid Syntax</v>
      </c>
      <c r="E478" s="366">
        <f>SUMIF('Investment Analysis'!$E$22:$E$69,'FCC Investments - Load Tab'!C477,'Investment Analysis'!$L$22:$L$69)</f>
        <v>0</v>
      </c>
      <c r="F478" s="367" t="s">
        <v>673</v>
      </c>
      <c r="G478" s="367" t="s">
        <v>706</v>
      </c>
      <c r="H478" s="368" t="e">
        <f t="shared" si="176"/>
        <v>#N/A</v>
      </c>
      <c r="I478" s="368" t="str">
        <f t="shared" si="176"/>
        <v>Jun</v>
      </c>
      <c r="J478" s="367" t="str">
        <f t="shared" si="176"/>
        <v>FY25</v>
      </c>
      <c r="K478" s="367" t="str">
        <f t="shared" si="176"/>
        <v>FCCS_Other Data</v>
      </c>
      <c r="L478" s="367" t="str">
        <f t="shared" si="176"/>
        <v>FCCS_No Intercompany</v>
      </c>
      <c r="M478" s="367" t="str">
        <f>+M$1</f>
        <v>No Custom1</v>
      </c>
      <c r="N478" s="367" t="str">
        <f t="shared" si="176"/>
        <v>No Custom2</v>
      </c>
      <c r="O478" s="367" t="s">
        <v>722</v>
      </c>
      <c r="P478" s="367" t="s">
        <v>718</v>
      </c>
      <c r="Q478" s="367" t="str">
        <f t="shared" si="177"/>
        <v>FCCS_ClosingBalance_Input</v>
      </c>
      <c r="R478" s="367" t="s">
        <v>169</v>
      </c>
      <c r="S478" s="367" t="s">
        <v>848</v>
      </c>
      <c r="T478" s="367" t="s">
        <v>850</v>
      </c>
    </row>
    <row r="479" spans="2:20" x14ac:dyDescent="0.3">
      <c r="B479" s="364" t="s">
        <v>668</v>
      </c>
      <c r="C479" s="365" t="s">
        <v>683</v>
      </c>
      <c r="D479" s="366" t="str">
        <f>[2]!HsSetValue(E479,"FCC","Scenario#"&amp;R479&amp;";Years#"&amp;J479&amp;";Period#"&amp;I479&amp;";View#"&amp;S479&amp;";Entity#"&amp;H479&amp;";Data Source#"&amp;K479&amp;";Account#"&amp;F479&amp;";Intercompany#"&amp;L479&amp;";Movement#"&amp;Q479&amp;";Consolidation#"&amp;T479&amp;";Custom1#"&amp;M479&amp;";Custom2#"&amp;N479&amp;";Custom3#"&amp;O479&amp;";Custom4#"&amp;P479&amp;"")</f>
        <v>#Invalid Syntax</v>
      </c>
      <c r="E479" s="366">
        <f>SUMIF('Investment Analysis'!$E$22:$E$69,'FCC Investments - Load Tab'!C477,'Investment Analysis'!$M$22:$M$69)</f>
        <v>0</v>
      </c>
      <c r="F479" s="367" t="s">
        <v>673</v>
      </c>
      <c r="G479" s="367" t="s">
        <v>706</v>
      </c>
      <c r="H479" s="368" t="e">
        <f t="shared" si="176"/>
        <v>#N/A</v>
      </c>
      <c r="I479" s="368" t="str">
        <f t="shared" si="176"/>
        <v>Jun</v>
      </c>
      <c r="J479" s="367" t="str">
        <f t="shared" si="176"/>
        <v>FY25</v>
      </c>
      <c r="K479" s="367" t="str">
        <f t="shared" si="176"/>
        <v>FCCS_Other Data</v>
      </c>
      <c r="L479" s="367" t="str">
        <f t="shared" si="176"/>
        <v>FCCS_No Intercompany</v>
      </c>
      <c r="M479" s="367" t="str">
        <f>+M$1</f>
        <v>No Custom1</v>
      </c>
      <c r="N479" s="367" t="str">
        <f t="shared" si="176"/>
        <v>No Custom2</v>
      </c>
      <c r="O479" s="367" t="s">
        <v>723</v>
      </c>
      <c r="P479" s="367" t="s">
        <v>718</v>
      </c>
      <c r="Q479" s="367" t="str">
        <f t="shared" si="177"/>
        <v>FCCS_ClosingBalance_Input</v>
      </c>
      <c r="R479" s="367" t="s">
        <v>169</v>
      </c>
      <c r="S479" s="367" t="s">
        <v>848</v>
      </c>
      <c r="T479" s="367" t="s">
        <v>850</v>
      </c>
    </row>
    <row r="480" spans="2:20" x14ac:dyDescent="0.3">
      <c r="B480" s="364" t="s">
        <v>668</v>
      </c>
      <c r="C480" s="365" t="s">
        <v>683</v>
      </c>
      <c r="D480" s="366" t="str">
        <f>[2]!HsSetValue(E480,"FCC","Scenario#"&amp;R480&amp;";Years#"&amp;J480&amp;";Period#"&amp;I480&amp;";View#"&amp;S480&amp;";Entity#"&amp;H480&amp;";Data Source#"&amp;K480&amp;";Account#"&amp;F480&amp;";Intercompany#"&amp;L480&amp;";Movement#"&amp;Q480&amp;";Consolidation#"&amp;T480&amp;";Custom1#"&amp;M480&amp;";Custom2#"&amp;N480&amp;";Custom3#"&amp;O480&amp;";Custom4#"&amp;P480&amp;"")</f>
        <v>#Invalid Syntax</v>
      </c>
      <c r="E480" s="366">
        <f>SUMIF('Investment Analysis'!$E$22:$E$69,'FCC Investments - Load Tab'!C480,'Investment Analysis'!$N$22:$N$69)</f>
        <v>0</v>
      </c>
      <c r="F480" s="367" t="s">
        <v>673</v>
      </c>
      <c r="G480" s="367" t="s">
        <v>706</v>
      </c>
      <c r="H480" s="368" t="e">
        <f t="shared" si="176"/>
        <v>#N/A</v>
      </c>
      <c r="I480" s="368" t="str">
        <f t="shared" si="176"/>
        <v>Jun</v>
      </c>
      <c r="J480" s="367" t="str">
        <f t="shared" si="176"/>
        <v>FY25</v>
      </c>
      <c r="K480" s="367" t="str">
        <f t="shared" si="176"/>
        <v>FCCS_Other Data</v>
      </c>
      <c r="L480" s="367" t="str">
        <f t="shared" si="176"/>
        <v>FCCS_No Intercompany</v>
      </c>
      <c r="M480" s="367" t="str">
        <f>+M$1</f>
        <v>No Custom1</v>
      </c>
      <c r="N480" s="367" t="str">
        <f t="shared" si="176"/>
        <v>No Custom2</v>
      </c>
      <c r="O480" s="367" t="s">
        <v>724</v>
      </c>
      <c r="P480" s="367" t="s">
        <v>718</v>
      </c>
      <c r="Q480" s="367" t="str">
        <f t="shared" si="177"/>
        <v>FCCS_ClosingBalance_Input</v>
      </c>
      <c r="R480" s="367" t="s">
        <v>169</v>
      </c>
      <c r="S480" s="367" t="s">
        <v>848</v>
      </c>
      <c r="T480" s="367" t="s">
        <v>850</v>
      </c>
    </row>
    <row r="481" spans="2:20" x14ac:dyDescent="0.3">
      <c r="B481" s="364" t="s">
        <v>668</v>
      </c>
      <c r="C481" s="365" t="s">
        <v>683</v>
      </c>
      <c r="D481" s="366" t="str">
        <f>[2]!HsSetValue(E481,"FCC","Scenario#"&amp;R481&amp;";Years#"&amp;J481&amp;";Period#"&amp;I481&amp;";View#"&amp;S481&amp;";Entity#"&amp;H481&amp;";Data Source#"&amp;K481&amp;";Account#"&amp;F481&amp;";Intercompany#"&amp;L481&amp;";Movement#"&amp;Q481&amp;";Consolidation#"&amp;T481&amp;";Custom1#"&amp;M481&amp;";Custom2#"&amp;N481&amp;";Custom3#"&amp;O481&amp;";Custom4#"&amp;P481&amp;"")</f>
        <v>#Invalid Syntax</v>
      </c>
      <c r="E481" s="366">
        <f>SUMIF('Investment Analysis'!$E$2:$E$69,'FCC Investments - Load Tab'!C481,'Investment Analysis'!$O$2:$O$69)</f>
        <v>0</v>
      </c>
      <c r="F481" s="367" t="s">
        <v>673</v>
      </c>
      <c r="G481" s="367" t="s">
        <v>706</v>
      </c>
      <c r="H481" s="368" t="e">
        <f t="shared" si="176"/>
        <v>#N/A</v>
      </c>
      <c r="I481" s="368" t="str">
        <f t="shared" si="176"/>
        <v>Jun</v>
      </c>
      <c r="J481" s="367" t="str">
        <f t="shared" si="176"/>
        <v>FY25</v>
      </c>
      <c r="K481" s="367" t="str">
        <f t="shared" si="176"/>
        <v>FCCS_Other Data</v>
      </c>
      <c r="L481" s="367" t="str">
        <f t="shared" si="176"/>
        <v>FCCS_No Intercompany</v>
      </c>
      <c r="M481" s="367" t="str">
        <f>+M$1</f>
        <v>No Custom1</v>
      </c>
      <c r="N481" s="367" t="str">
        <f t="shared" si="176"/>
        <v>No Custom2</v>
      </c>
      <c r="O481" s="367" t="s">
        <v>725</v>
      </c>
      <c r="P481" s="367" t="s">
        <v>718</v>
      </c>
      <c r="Q481" s="367" t="str">
        <f t="shared" si="177"/>
        <v>FCCS_ClosingBalance_Input</v>
      </c>
      <c r="R481" s="367" t="s">
        <v>169</v>
      </c>
      <c r="S481" s="367" t="s">
        <v>848</v>
      </c>
      <c r="T481" s="367" t="s">
        <v>850</v>
      </c>
    </row>
    <row r="482" spans="2:20" x14ac:dyDescent="0.3">
      <c r="B482" s="210"/>
      <c r="C482" s="211"/>
      <c r="D482" s="212"/>
      <c r="E482" s="212"/>
    </row>
    <row r="483" spans="2:20" x14ac:dyDescent="0.3">
      <c r="B483" s="214" t="s">
        <v>667</v>
      </c>
      <c r="C483" s="215" t="s">
        <v>683</v>
      </c>
      <c r="D483" s="216" t="str">
        <f>[2]!HsSetValue(E483,"FCC","Scenario#"&amp;R483&amp;";Years#"&amp;J483&amp;";Period#"&amp;I483&amp;";View#"&amp;S483&amp;";Entity#"&amp;H483&amp;";Data Source#"&amp;K483&amp;";Account#"&amp;F483&amp;";Intercompany#"&amp;L483&amp;";Movement#"&amp;Q483&amp;";Consolidation#"&amp;T483&amp;";Custom1#"&amp;M483&amp;";Custom2#"&amp;N483&amp;";Custom3#"&amp;O483&amp;";Custom4#"&amp;P483&amp;"")</f>
        <v>#Invalid Syntax</v>
      </c>
      <c r="E483" s="216">
        <f>SUMIFS('Investment Analysis'!$H$22:$H$69,'Investment Analysis'!$E$22:$E$69,"Investment Agreements",'Investment Analysis'!$AB$22:$AB$69,"10")</f>
        <v>0</v>
      </c>
      <c r="F483" s="217" t="s">
        <v>674</v>
      </c>
      <c r="G483" s="217" t="s">
        <v>1059</v>
      </c>
      <c r="H483" s="218" t="e">
        <f t="shared" ref="H483:N496" si="178">+H$2</f>
        <v>#N/A</v>
      </c>
      <c r="I483" s="218" t="str">
        <f t="shared" si="178"/>
        <v>Jun</v>
      </c>
      <c r="J483" s="217" t="str">
        <f t="shared" si="178"/>
        <v>FY25</v>
      </c>
      <c r="K483" s="217" t="str">
        <f t="shared" si="178"/>
        <v>FCCS_Other Data</v>
      </c>
      <c r="L483" s="217" t="str">
        <f t="shared" si="178"/>
        <v>FCCS_No Intercompany</v>
      </c>
      <c r="M483" s="217" t="str">
        <f t="shared" ref="M483:M496" si="179">+M$1</f>
        <v>No Custom1</v>
      </c>
      <c r="N483" s="217" t="str">
        <f t="shared" si="178"/>
        <v>No Custom2</v>
      </c>
      <c r="O483" s="217" t="s">
        <v>433</v>
      </c>
      <c r="P483" s="217" t="s">
        <v>718</v>
      </c>
      <c r="Q483" s="217" t="str">
        <f t="shared" ref="Q483:Q735" si="180">Q$2</f>
        <v>FCCS_ClosingBalance_Input</v>
      </c>
      <c r="R483" s="217" t="s">
        <v>169</v>
      </c>
      <c r="S483" s="217" t="s">
        <v>848</v>
      </c>
      <c r="T483" s="217" t="s">
        <v>850</v>
      </c>
    </row>
    <row r="484" spans="2:20" x14ac:dyDescent="0.3">
      <c r="B484" s="214" t="s">
        <v>667</v>
      </c>
      <c r="C484" s="215" t="s">
        <v>683</v>
      </c>
      <c r="D484" s="216" t="str">
        <f>[2]!HsSetValue(E484,"FCC","Scenario#"&amp;R484&amp;";Years#"&amp;J484&amp;";Period#"&amp;I484&amp;";View#"&amp;S484&amp;";Entity#"&amp;H484&amp;";Data Source#"&amp;K484&amp;";Account#"&amp;F484&amp;";Intercompany#"&amp;L484&amp;";Movement#"&amp;Q484&amp;";Consolidation#"&amp;T484&amp;";Custom1#"&amp;M484&amp;";Custom2#"&amp;N484&amp;";Custom3#"&amp;O484&amp;";Custom4#"&amp;P484&amp;"")</f>
        <v>#Invalid Syntax</v>
      </c>
      <c r="E484" s="216">
        <f>SUMIFS('Investment Analysis'!$H$22:$H$69,'Investment Analysis'!$E$22:$E$69,"Investment Agreements",'Investment Analysis'!$AB$22:$AB$69,"9")</f>
        <v>0</v>
      </c>
      <c r="F484" s="217" t="s">
        <v>674</v>
      </c>
      <c r="G484" s="217" t="s">
        <v>1059</v>
      </c>
      <c r="H484" s="218" t="e">
        <f t="shared" si="178"/>
        <v>#N/A</v>
      </c>
      <c r="I484" s="218" t="str">
        <f t="shared" si="178"/>
        <v>Jun</v>
      </c>
      <c r="J484" s="217" t="str">
        <f t="shared" si="178"/>
        <v>FY25</v>
      </c>
      <c r="K484" s="217" t="str">
        <f t="shared" si="178"/>
        <v>FCCS_Other Data</v>
      </c>
      <c r="L484" s="217" t="str">
        <f t="shared" si="178"/>
        <v>FCCS_No Intercompany</v>
      </c>
      <c r="M484" s="217" t="str">
        <f t="shared" si="179"/>
        <v>No Custom1</v>
      </c>
      <c r="N484" s="217" t="str">
        <f t="shared" si="178"/>
        <v>No Custom2</v>
      </c>
      <c r="O484" s="217" t="s">
        <v>596</v>
      </c>
      <c r="P484" s="217" t="s">
        <v>718</v>
      </c>
      <c r="Q484" s="217" t="str">
        <f t="shared" si="180"/>
        <v>FCCS_ClosingBalance_Input</v>
      </c>
      <c r="R484" s="217" t="s">
        <v>169</v>
      </c>
      <c r="S484" s="217" t="s">
        <v>848</v>
      </c>
      <c r="T484" s="217" t="s">
        <v>850</v>
      </c>
    </row>
    <row r="485" spans="2:20" x14ac:dyDescent="0.3">
      <c r="B485" s="214" t="s">
        <v>667</v>
      </c>
      <c r="C485" s="215" t="s">
        <v>683</v>
      </c>
      <c r="D485" s="216" t="str">
        <f>[2]!HsSetValue(E485,"FCC","Scenario#"&amp;R485&amp;";Years#"&amp;J485&amp;";Period#"&amp;I485&amp;";View#"&amp;S485&amp;";Entity#"&amp;H485&amp;";Data Source#"&amp;K485&amp;";Account#"&amp;F485&amp;";Intercompany#"&amp;L485&amp;";Movement#"&amp;Q485&amp;";Consolidation#"&amp;T485&amp;";Custom1#"&amp;M485&amp;";Custom2#"&amp;N485&amp;";Custom3#"&amp;O485&amp;";Custom4#"&amp;P485&amp;"")</f>
        <v>#Invalid Syntax</v>
      </c>
      <c r="E485" s="216">
        <f>SUMIFS('Investment Analysis'!$H$22:$H$69,'Investment Analysis'!$E$22:$E$69,"Investment Agreements",'Investment Analysis'!$AB$22:$AB$69,"8")</f>
        <v>0</v>
      </c>
      <c r="F485" s="217" t="s">
        <v>674</v>
      </c>
      <c r="G485" s="217" t="s">
        <v>1059</v>
      </c>
      <c r="H485" s="218" t="e">
        <f t="shared" si="178"/>
        <v>#N/A</v>
      </c>
      <c r="I485" s="218" t="str">
        <f t="shared" si="178"/>
        <v>Jun</v>
      </c>
      <c r="J485" s="217" t="str">
        <f t="shared" si="178"/>
        <v>FY25</v>
      </c>
      <c r="K485" s="217" t="str">
        <f t="shared" si="178"/>
        <v>FCCS_Other Data</v>
      </c>
      <c r="L485" s="217" t="str">
        <f t="shared" si="178"/>
        <v>FCCS_No Intercompany</v>
      </c>
      <c r="M485" s="217" t="str">
        <f t="shared" si="179"/>
        <v>No Custom1</v>
      </c>
      <c r="N485" s="217" t="str">
        <f t="shared" si="178"/>
        <v>No Custom2</v>
      </c>
      <c r="O485" s="217" t="s">
        <v>61</v>
      </c>
      <c r="P485" s="217" t="s">
        <v>718</v>
      </c>
      <c r="Q485" s="217" t="str">
        <f t="shared" si="180"/>
        <v>FCCS_ClosingBalance_Input</v>
      </c>
      <c r="R485" s="217" t="s">
        <v>169</v>
      </c>
      <c r="S485" s="217" t="s">
        <v>848</v>
      </c>
      <c r="T485" s="217" t="s">
        <v>850</v>
      </c>
    </row>
    <row r="486" spans="2:20" x14ac:dyDescent="0.3">
      <c r="B486" s="214" t="s">
        <v>667</v>
      </c>
      <c r="C486" s="215" t="s">
        <v>683</v>
      </c>
      <c r="D486" s="216" t="str">
        <f>[2]!HsSetValue(E486,"FCC","Scenario#"&amp;R486&amp;";Years#"&amp;J486&amp;";Period#"&amp;I486&amp;";View#"&amp;S486&amp;";Entity#"&amp;H486&amp;";Data Source#"&amp;K486&amp;";Account#"&amp;F486&amp;";Intercompany#"&amp;L486&amp;";Movement#"&amp;Q486&amp;";Consolidation#"&amp;T486&amp;";Custom1#"&amp;M486&amp;";Custom2#"&amp;N486&amp;";Custom3#"&amp;O486&amp;";Custom4#"&amp;P486&amp;"")</f>
        <v>#Invalid Syntax</v>
      </c>
      <c r="E486" s="216">
        <f>SUMIFS('Investment Analysis'!$H$22:$H$69,'Investment Analysis'!$E$22:$E$69,"Investment Agreements",'Investment Analysis'!$AB$22:$AB$69,"7")</f>
        <v>0</v>
      </c>
      <c r="F486" s="217" t="s">
        <v>674</v>
      </c>
      <c r="G486" s="217" t="s">
        <v>1059</v>
      </c>
      <c r="H486" s="218" t="e">
        <f t="shared" si="178"/>
        <v>#N/A</v>
      </c>
      <c r="I486" s="218" t="str">
        <f t="shared" si="178"/>
        <v>Jun</v>
      </c>
      <c r="J486" s="217" t="str">
        <f t="shared" si="178"/>
        <v>FY25</v>
      </c>
      <c r="K486" s="217" t="str">
        <f t="shared" si="178"/>
        <v>FCCS_Other Data</v>
      </c>
      <c r="L486" s="217" t="str">
        <f t="shared" si="178"/>
        <v>FCCS_No Intercompany</v>
      </c>
      <c r="M486" s="217" t="str">
        <f t="shared" si="179"/>
        <v>No Custom1</v>
      </c>
      <c r="N486" s="217" t="str">
        <f t="shared" si="178"/>
        <v>No Custom2</v>
      </c>
      <c r="O486" s="217" t="s">
        <v>62</v>
      </c>
      <c r="P486" s="217" t="s">
        <v>718</v>
      </c>
      <c r="Q486" s="217" t="str">
        <f t="shared" si="180"/>
        <v>FCCS_ClosingBalance_Input</v>
      </c>
      <c r="R486" s="217" t="s">
        <v>169</v>
      </c>
      <c r="S486" s="217" t="s">
        <v>848</v>
      </c>
      <c r="T486" s="217" t="s">
        <v>850</v>
      </c>
    </row>
    <row r="487" spans="2:20" x14ac:dyDescent="0.3">
      <c r="B487" s="214" t="s">
        <v>667</v>
      </c>
      <c r="C487" s="215" t="s">
        <v>683</v>
      </c>
      <c r="D487" s="216" t="str">
        <f>[2]!HsSetValue(E487,"FCC","Scenario#"&amp;R487&amp;";Years#"&amp;J487&amp;";Period#"&amp;I487&amp;";View#"&amp;S487&amp;";Entity#"&amp;H487&amp;";Data Source#"&amp;K487&amp;";Account#"&amp;F487&amp;";Intercompany#"&amp;L487&amp;";Movement#"&amp;Q487&amp;";Consolidation#"&amp;T487&amp;";Custom1#"&amp;M487&amp;";Custom2#"&amp;N487&amp;";Custom3#"&amp;O487&amp;";Custom4#"&amp;P487&amp;"")</f>
        <v>#Invalid Syntax</v>
      </c>
      <c r="E487" s="216">
        <f>SUMIFS('Investment Analysis'!$H$22:$H$69,'Investment Analysis'!$E$22:$E$69,"Investment Agreements",'Investment Analysis'!$AB$22:$AB$69,"6")</f>
        <v>0</v>
      </c>
      <c r="F487" s="217" t="s">
        <v>674</v>
      </c>
      <c r="G487" s="217" t="s">
        <v>1059</v>
      </c>
      <c r="H487" s="218" t="e">
        <f t="shared" si="178"/>
        <v>#N/A</v>
      </c>
      <c r="I487" s="218" t="str">
        <f t="shared" si="178"/>
        <v>Jun</v>
      </c>
      <c r="J487" s="217" t="str">
        <f t="shared" si="178"/>
        <v>FY25</v>
      </c>
      <c r="K487" s="217" t="str">
        <f t="shared" si="178"/>
        <v>FCCS_Other Data</v>
      </c>
      <c r="L487" s="217" t="str">
        <f t="shared" si="178"/>
        <v>FCCS_No Intercompany</v>
      </c>
      <c r="M487" s="217" t="str">
        <f t="shared" si="179"/>
        <v>No Custom1</v>
      </c>
      <c r="N487" s="217" t="str">
        <f t="shared" si="178"/>
        <v>No Custom2</v>
      </c>
      <c r="O487" s="217" t="s">
        <v>436</v>
      </c>
      <c r="P487" s="217" t="s">
        <v>718</v>
      </c>
      <c r="Q487" s="217" t="str">
        <f t="shared" si="180"/>
        <v>FCCS_ClosingBalance_Input</v>
      </c>
      <c r="R487" s="217" t="s">
        <v>169</v>
      </c>
      <c r="S487" s="217" t="s">
        <v>848</v>
      </c>
      <c r="T487" s="217" t="s">
        <v>850</v>
      </c>
    </row>
    <row r="488" spans="2:20" s="371" customFormat="1" x14ac:dyDescent="0.3">
      <c r="B488" s="214" t="s">
        <v>667</v>
      </c>
      <c r="C488" s="215" t="s">
        <v>683</v>
      </c>
      <c r="D488" s="216" t="str">
        <f>[2]!HsSetValue(E488,"FCC","Scenario#"&amp;R488&amp;";Years#"&amp;J488&amp;";Period#"&amp;I488&amp;";View#"&amp;S488&amp;";Entity#"&amp;H488&amp;";Data Source#"&amp;K488&amp;";Account#"&amp;F488&amp;";Intercompany#"&amp;L488&amp;";Movement#"&amp;Q488&amp;";Consolidation#"&amp;T488&amp;";Custom1#"&amp;M488&amp;";Custom2#"&amp;N488&amp;";Custom3#"&amp;O488&amp;";Custom4#"&amp;P488&amp;"")</f>
        <v>#Invalid Syntax</v>
      </c>
      <c r="E488" s="216">
        <f>SUMIFS('Investment Analysis'!$H$22:$H$69,'Investment Analysis'!$E$22:$E$69,"Investment Agreements",'Investment Analysis'!$AB$22:$AB$69,"5")</f>
        <v>0</v>
      </c>
      <c r="F488" s="217" t="s">
        <v>674</v>
      </c>
      <c r="G488" s="217" t="s">
        <v>1059</v>
      </c>
      <c r="H488" s="218" t="e">
        <f t="shared" si="178"/>
        <v>#N/A</v>
      </c>
      <c r="I488" s="218" t="str">
        <f t="shared" si="178"/>
        <v>Jun</v>
      </c>
      <c r="J488" s="217" t="str">
        <f t="shared" si="178"/>
        <v>FY25</v>
      </c>
      <c r="K488" s="217" t="str">
        <f t="shared" si="178"/>
        <v>FCCS_Other Data</v>
      </c>
      <c r="L488" s="217" t="str">
        <f t="shared" si="178"/>
        <v>FCCS_No Intercompany</v>
      </c>
      <c r="M488" s="217" t="str">
        <f t="shared" si="179"/>
        <v>No Custom1</v>
      </c>
      <c r="N488" s="217" t="str">
        <f t="shared" si="178"/>
        <v>No Custom2</v>
      </c>
      <c r="O488" s="217" t="s">
        <v>434</v>
      </c>
      <c r="P488" s="217" t="s">
        <v>718</v>
      </c>
      <c r="Q488" s="217" t="str">
        <f t="shared" si="180"/>
        <v>FCCS_ClosingBalance_Input</v>
      </c>
      <c r="R488" s="217" t="str">
        <f t="shared" ref="R488:S492" si="181">+R$2</f>
        <v>Actual</v>
      </c>
      <c r="S488" s="217" t="str">
        <f t="shared" si="181"/>
        <v>FCCS_YTD_Input</v>
      </c>
      <c r="T488" s="217" t="s">
        <v>850</v>
      </c>
    </row>
    <row r="489" spans="2:20" s="371" customFormat="1" x14ac:dyDescent="0.3">
      <c r="B489" s="214" t="s">
        <v>667</v>
      </c>
      <c r="C489" s="215" t="s">
        <v>683</v>
      </c>
      <c r="D489" s="216" t="str">
        <f>[2]!HsSetValue(E489,"FCC","Scenario#"&amp;R489&amp;";Years#"&amp;J489&amp;";Period#"&amp;I489&amp;";View#"&amp;S489&amp;";Entity#"&amp;H489&amp;";Data Source#"&amp;K489&amp;";Account#"&amp;F489&amp;";Intercompany#"&amp;L489&amp;";Movement#"&amp;Q489&amp;";Consolidation#"&amp;T489&amp;";Custom1#"&amp;M489&amp;";Custom2#"&amp;N489&amp;";Custom3#"&amp;O489&amp;";Custom4#"&amp;P489&amp;"")</f>
        <v>#Invalid Syntax</v>
      </c>
      <c r="E489" s="216">
        <f>SUMIFS('Investment Analysis'!$H$22:$H$69,'Investment Analysis'!$E$22:$E$69,"Investment Agreements",'Investment Analysis'!$AB$22:$AB$69,"4")</f>
        <v>0</v>
      </c>
      <c r="F489" s="217" t="s">
        <v>674</v>
      </c>
      <c r="G489" s="217" t="s">
        <v>1059</v>
      </c>
      <c r="H489" s="218" t="e">
        <f t="shared" si="178"/>
        <v>#N/A</v>
      </c>
      <c r="I489" s="218" t="str">
        <f t="shared" si="178"/>
        <v>Jun</v>
      </c>
      <c r="J489" s="217" t="str">
        <f t="shared" si="178"/>
        <v>FY25</v>
      </c>
      <c r="K489" s="217" t="str">
        <f t="shared" si="178"/>
        <v>FCCS_Other Data</v>
      </c>
      <c r="L489" s="217" t="str">
        <f t="shared" si="178"/>
        <v>FCCS_No Intercompany</v>
      </c>
      <c r="M489" s="217" t="str">
        <f t="shared" si="179"/>
        <v>No Custom1</v>
      </c>
      <c r="N489" s="217" t="str">
        <f t="shared" si="178"/>
        <v>No Custom2</v>
      </c>
      <c r="O489" s="217" t="s">
        <v>63</v>
      </c>
      <c r="P489" s="217" t="s">
        <v>718</v>
      </c>
      <c r="Q489" s="217" t="str">
        <f t="shared" si="180"/>
        <v>FCCS_ClosingBalance_Input</v>
      </c>
      <c r="R489" s="217" t="str">
        <f t="shared" si="181"/>
        <v>Actual</v>
      </c>
      <c r="S489" s="217" t="str">
        <f t="shared" si="181"/>
        <v>FCCS_YTD_Input</v>
      </c>
      <c r="T489" s="217" t="s">
        <v>850</v>
      </c>
    </row>
    <row r="490" spans="2:20" s="371" customFormat="1" x14ac:dyDescent="0.3">
      <c r="B490" s="214" t="s">
        <v>667</v>
      </c>
      <c r="C490" s="215" t="s">
        <v>683</v>
      </c>
      <c r="D490" s="216" t="str">
        <f>[2]!HsSetValue(E490,"FCC","Scenario#"&amp;R490&amp;";Years#"&amp;J490&amp;";Period#"&amp;I490&amp;";View#"&amp;S490&amp;";Entity#"&amp;H490&amp;";Data Source#"&amp;K490&amp;";Account#"&amp;F490&amp;";Intercompany#"&amp;L490&amp;";Movement#"&amp;Q490&amp;";Consolidation#"&amp;T490&amp;";Custom1#"&amp;M490&amp;";Custom2#"&amp;N490&amp;";Custom3#"&amp;O490&amp;";Custom4#"&amp;P490&amp;"")</f>
        <v>#Invalid Syntax</v>
      </c>
      <c r="E490" s="216">
        <f>SUMIFS('Investment Analysis'!$H$22:$H$69,'Investment Analysis'!$E$22:$E$69,"Investment Agreements",'Investment Analysis'!$AB$22:$AB$69,"3")</f>
        <v>0</v>
      </c>
      <c r="F490" s="217" t="s">
        <v>674</v>
      </c>
      <c r="G490" s="217" t="s">
        <v>1059</v>
      </c>
      <c r="H490" s="218" t="e">
        <f t="shared" si="178"/>
        <v>#N/A</v>
      </c>
      <c r="I490" s="218" t="str">
        <f t="shared" si="178"/>
        <v>Jun</v>
      </c>
      <c r="J490" s="217" t="str">
        <f t="shared" si="178"/>
        <v>FY25</v>
      </c>
      <c r="K490" s="217" t="str">
        <f t="shared" si="178"/>
        <v>FCCS_Other Data</v>
      </c>
      <c r="L490" s="217" t="str">
        <f t="shared" si="178"/>
        <v>FCCS_No Intercompany</v>
      </c>
      <c r="M490" s="217" t="str">
        <f t="shared" si="179"/>
        <v>No Custom1</v>
      </c>
      <c r="N490" s="217" t="str">
        <f t="shared" si="178"/>
        <v>No Custom2</v>
      </c>
      <c r="O490" s="217" t="s">
        <v>622</v>
      </c>
      <c r="P490" s="217" t="s">
        <v>718</v>
      </c>
      <c r="Q490" s="217" t="str">
        <f t="shared" si="180"/>
        <v>FCCS_ClosingBalance_Input</v>
      </c>
      <c r="R490" s="217" t="str">
        <f t="shared" si="181"/>
        <v>Actual</v>
      </c>
      <c r="S490" s="217" t="str">
        <f t="shared" si="181"/>
        <v>FCCS_YTD_Input</v>
      </c>
      <c r="T490" s="217" t="s">
        <v>850</v>
      </c>
    </row>
    <row r="491" spans="2:20" s="371" customFormat="1" x14ac:dyDescent="0.3">
      <c r="B491" s="214" t="s">
        <v>667</v>
      </c>
      <c r="C491" s="215" t="s">
        <v>683</v>
      </c>
      <c r="D491" s="216" t="str">
        <f>[2]!HsSetValue(E491,"FCC","Scenario#"&amp;R491&amp;";Years#"&amp;J491&amp;";Period#"&amp;I491&amp;";View#"&amp;S491&amp;";Entity#"&amp;H491&amp;";Data Source#"&amp;K491&amp;";Account#"&amp;F491&amp;";Intercompany#"&amp;L491&amp;";Movement#"&amp;Q491&amp;";Consolidation#"&amp;T491&amp;";Custom1#"&amp;M491&amp;";Custom2#"&amp;N491&amp;";Custom3#"&amp;O491&amp;";Custom4#"&amp;P491&amp;"")</f>
        <v>#Invalid Syntax</v>
      </c>
      <c r="E491" s="216">
        <f>SUMIFS('Investment Analysis'!$H$22:$H$69,'Investment Analysis'!$E$22:$E$69,"Investment Agreements",'Investment Analysis'!$AB$22:$AB$69,"2")</f>
        <v>0</v>
      </c>
      <c r="F491" s="217" t="s">
        <v>674</v>
      </c>
      <c r="G491" s="217" t="s">
        <v>1059</v>
      </c>
      <c r="H491" s="218" t="e">
        <f t="shared" si="178"/>
        <v>#N/A</v>
      </c>
      <c r="I491" s="218" t="str">
        <f t="shared" si="178"/>
        <v>Jun</v>
      </c>
      <c r="J491" s="217" t="str">
        <f t="shared" si="178"/>
        <v>FY25</v>
      </c>
      <c r="K491" s="217" t="str">
        <f t="shared" si="178"/>
        <v>FCCS_Other Data</v>
      </c>
      <c r="L491" s="217" t="str">
        <f t="shared" si="178"/>
        <v>FCCS_No Intercompany</v>
      </c>
      <c r="M491" s="217" t="str">
        <f t="shared" si="179"/>
        <v>No Custom1</v>
      </c>
      <c r="N491" s="217" t="str">
        <f t="shared" si="178"/>
        <v>No Custom2</v>
      </c>
      <c r="O491" s="217" t="s">
        <v>618</v>
      </c>
      <c r="P491" s="217" t="s">
        <v>718</v>
      </c>
      <c r="Q491" s="217" t="str">
        <f t="shared" si="180"/>
        <v>FCCS_ClosingBalance_Input</v>
      </c>
      <c r="R491" s="217" t="str">
        <f t="shared" si="181"/>
        <v>Actual</v>
      </c>
      <c r="S491" s="217" t="str">
        <f t="shared" si="181"/>
        <v>FCCS_YTD_Input</v>
      </c>
      <c r="T491" s="217" t="s">
        <v>850</v>
      </c>
    </row>
    <row r="492" spans="2:20" s="371" customFormat="1" x14ac:dyDescent="0.3">
      <c r="B492" s="214" t="s">
        <v>667</v>
      </c>
      <c r="C492" s="215" t="s">
        <v>683</v>
      </c>
      <c r="D492" s="216" t="str">
        <f>[2]!HsSetValue(E492,"FCC","Scenario#"&amp;R492&amp;";Years#"&amp;J492&amp;";Period#"&amp;I492&amp;";View#"&amp;S492&amp;";Entity#"&amp;H492&amp;";Data Source#"&amp;K492&amp;";Account#"&amp;F492&amp;";Intercompany#"&amp;L492&amp;";Movement#"&amp;Q492&amp;";Consolidation#"&amp;T492&amp;";Custom1#"&amp;M492&amp;";Custom2#"&amp;N492&amp;";Custom3#"&amp;O492&amp;";Custom4#"&amp;P492&amp;"")</f>
        <v>#Invalid Syntax</v>
      </c>
      <c r="E492" s="216">
        <f>SUMIFS('Investment Analysis'!$H$22:$H$69,'Investment Analysis'!$E$22:$E$69,"Investment Agreements",'Investment Analysis'!$AB$22:$AB$69,"1")</f>
        <v>0</v>
      </c>
      <c r="F492" s="217" t="s">
        <v>674</v>
      </c>
      <c r="G492" s="217" t="s">
        <v>1059</v>
      </c>
      <c r="H492" s="218" t="e">
        <f t="shared" si="178"/>
        <v>#N/A</v>
      </c>
      <c r="I492" s="218" t="str">
        <f t="shared" si="178"/>
        <v>Jun</v>
      </c>
      <c r="J492" s="217" t="str">
        <f t="shared" si="178"/>
        <v>FY25</v>
      </c>
      <c r="K492" s="217" t="str">
        <f t="shared" si="178"/>
        <v>FCCS_Other Data</v>
      </c>
      <c r="L492" s="217" t="str">
        <f t="shared" si="178"/>
        <v>FCCS_No Intercompany</v>
      </c>
      <c r="M492" s="217" t="str">
        <f t="shared" si="179"/>
        <v>No Custom1</v>
      </c>
      <c r="N492" s="217" t="str">
        <f t="shared" si="178"/>
        <v>No Custom2</v>
      </c>
      <c r="O492" s="217" t="s">
        <v>64</v>
      </c>
      <c r="P492" s="217" t="s">
        <v>718</v>
      </c>
      <c r="Q492" s="217" t="str">
        <f t="shared" si="180"/>
        <v>FCCS_ClosingBalance_Input</v>
      </c>
      <c r="R492" s="217" t="str">
        <f t="shared" si="181"/>
        <v>Actual</v>
      </c>
      <c r="S492" s="217" t="str">
        <f t="shared" si="181"/>
        <v>FCCS_YTD_Input</v>
      </c>
      <c r="T492" s="217" t="s">
        <v>850</v>
      </c>
    </row>
    <row r="493" spans="2:20" x14ac:dyDescent="0.3">
      <c r="B493" s="214" t="s">
        <v>667</v>
      </c>
      <c r="C493" s="215" t="s">
        <v>683</v>
      </c>
      <c r="D493" s="216" t="str">
        <f>[2]!HsSetValue(E493,"FCC","Scenario#"&amp;R493&amp;";Years#"&amp;J493&amp;";Period#"&amp;I493&amp;";View#"&amp;S493&amp;";Entity#"&amp;H493&amp;";Data Source#"&amp;K493&amp;";Account#"&amp;F493&amp;";Intercompany#"&amp;L493&amp;";Movement#"&amp;Q493&amp;";Consolidation#"&amp;T493&amp;";Custom1#"&amp;M493&amp;";Custom2#"&amp;N493&amp;";Custom3#"&amp;O493&amp;";Custom4#"&amp;P493&amp;"")</f>
        <v>#Invalid Syntax</v>
      </c>
      <c r="E493" s="216">
        <f>SUMIFS('Investment Analysis'!$H$22:$H$69,'Investment Analysis'!$E$22:$E$69,"Investment Agreements",'Investment Analysis'!$AI$22:$AI$69,"16")</f>
        <v>0</v>
      </c>
      <c r="F493" s="217" t="s">
        <v>674</v>
      </c>
      <c r="G493" s="217" t="s">
        <v>1059</v>
      </c>
      <c r="H493" s="218" t="e">
        <f t="shared" si="178"/>
        <v>#N/A</v>
      </c>
      <c r="I493" s="218" t="str">
        <f t="shared" si="178"/>
        <v>Jun</v>
      </c>
      <c r="J493" s="217" t="str">
        <f t="shared" si="178"/>
        <v>FY25</v>
      </c>
      <c r="K493" s="217" t="str">
        <f t="shared" si="178"/>
        <v>FCCS_Other Data</v>
      </c>
      <c r="L493" s="217" t="str">
        <f t="shared" si="178"/>
        <v>FCCS_No Intercompany</v>
      </c>
      <c r="M493" s="217" t="str">
        <f t="shared" si="179"/>
        <v>No Custom1</v>
      </c>
      <c r="N493" s="217" t="str">
        <f t="shared" si="178"/>
        <v>No Custom2</v>
      </c>
      <c r="O493" s="217" t="s">
        <v>726</v>
      </c>
      <c r="P493" s="217" t="s">
        <v>718</v>
      </c>
      <c r="Q493" s="217" t="str">
        <f t="shared" si="180"/>
        <v>FCCS_ClosingBalance_Input</v>
      </c>
      <c r="R493" s="217" t="s">
        <v>169</v>
      </c>
      <c r="S493" s="217" t="s">
        <v>848</v>
      </c>
      <c r="T493" s="217" t="s">
        <v>850</v>
      </c>
    </row>
    <row r="494" spans="2:20" x14ac:dyDescent="0.3">
      <c r="B494" s="214" t="s">
        <v>667</v>
      </c>
      <c r="C494" s="215" t="s">
        <v>683</v>
      </c>
      <c r="D494" s="216" t="str">
        <f>[2]!HsSetValue(E494,"FCC","Scenario#"&amp;R494&amp;";Years#"&amp;J494&amp;";Period#"&amp;I494&amp;";View#"&amp;S494&amp;";Entity#"&amp;H494&amp;";Data Source#"&amp;K494&amp;";Account#"&amp;F494&amp;";Intercompany#"&amp;L494&amp;";Movement#"&amp;Q494&amp;";Consolidation#"&amp;T494&amp;";Custom1#"&amp;M494&amp;";Custom2#"&amp;N494&amp;";Custom3#"&amp;O494&amp;";Custom4#"&amp;P494&amp;"")</f>
        <v>#Invalid Syntax</v>
      </c>
      <c r="E494" s="216">
        <f>SUMIFS('Investment Analysis'!$H$22:$H$69,'Investment Analysis'!$E$22:$E$69,"Investment Agreements",'Investment Analysis'!$AI$22:$AI$69,"15")</f>
        <v>0</v>
      </c>
      <c r="F494" s="217" t="s">
        <v>674</v>
      </c>
      <c r="G494" s="217" t="s">
        <v>1059</v>
      </c>
      <c r="H494" s="218" t="e">
        <f t="shared" si="178"/>
        <v>#N/A</v>
      </c>
      <c r="I494" s="218" t="str">
        <f t="shared" si="178"/>
        <v>Jun</v>
      </c>
      <c r="J494" s="217" t="str">
        <f t="shared" si="178"/>
        <v>FY25</v>
      </c>
      <c r="K494" s="217" t="str">
        <f t="shared" si="178"/>
        <v>FCCS_Other Data</v>
      </c>
      <c r="L494" s="217" t="str">
        <f t="shared" si="178"/>
        <v>FCCS_No Intercompany</v>
      </c>
      <c r="M494" s="217" t="str">
        <f t="shared" si="179"/>
        <v>No Custom1</v>
      </c>
      <c r="N494" s="217" t="str">
        <f t="shared" si="178"/>
        <v>No Custom2</v>
      </c>
      <c r="O494" s="217" t="s">
        <v>727</v>
      </c>
      <c r="P494" s="217" t="s">
        <v>718</v>
      </c>
      <c r="Q494" s="217" t="str">
        <f t="shared" si="180"/>
        <v>FCCS_ClosingBalance_Input</v>
      </c>
      <c r="R494" s="217" t="s">
        <v>169</v>
      </c>
      <c r="S494" s="217" t="s">
        <v>848</v>
      </c>
      <c r="T494" s="217" t="s">
        <v>850</v>
      </c>
    </row>
    <row r="495" spans="2:20" x14ac:dyDescent="0.3">
      <c r="B495" s="214" t="s">
        <v>667</v>
      </c>
      <c r="C495" s="215" t="s">
        <v>683</v>
      </c>
      <c r="D495" s="216" t="str">
        <f>[2]!HsSetValue(E495,"FCC","Scenario#"&amp;R495&amp;";Years#"&amp;J495&amp;";Period#"&amp;I495&amp;";View#"&amp;S495&amp;";Entity#"&amp;H495&amp;";Data Source#"&amp;K495&amp;";Account#"&amp;F495&amp;";Intercompany#"&amp;L495&amp;";Movement#"&amp;Q495&amp;";Consolidation#"&amp;T495&amp;";Custom1#"&amp;M495&amp;";Custom2#"&amp;N495&amp;";Custom3#"&amp;O495&amp;";Custom4#"&amp;P495&amp;"")</f>
        <v>#Invalid Syntax</v>
      </c>
      <c r="E495" s="216">
        <f>SUMIFS('Investment Analysis'!$H$22:$H$69,'Investment Analysis'!$E$22:$E$69,"Investment Agreements",'Investment Analysis'!$AI$22:$AI$69,"14")</f>
        <v>0</v>
      </c>
      <c r="F495" s="217" t="s">
        <v>674</v>
      </c>
      <c r="G495" s="217" t="s">
        <v>1059</v>
      </c>
      <c r="H495" s="218" t="e">
        <f t="shared" si="178"/>
        <v>#N/A</v>
      </c>
      <c r="I495" s="218" t="str">
        <f t="shared" si="178"/>
        <v>Jun</v>
      </c>
      <c r="J495" s="217" t="str">
        <f t="shared" si="178"/>
        <v>FY25</v>
      </c>
      <c r="K495" s="217" t="str">
        <f t="shared" si="178"/>
        <v>FCCS_Other Data</v>
      </c>
      <c r="L495" s="217" t="str">
        <f t="shared" si="178"/>
        <v>FCCS_No Intercompany</v>
      </c>
      <c r="M495" s="217" t="str">
        <f t="shared" si="179"/>
        <v>No Custom1</v>
      </c>
      <c r="N495" s="217" t="str">
        <f t="shared" si="178"/>
        <v>No Custom2</v>
      </c>
      <c r="O495" s="217" t="s">
        <v>728</v>
      </c>
      <c r="P495" s="217" t="s">
        <v>718</v>
      </c>
      <c r="Q495" s="217" t="str">
        <f t="shared" si="180"/>
        <v>FCCS_ClosingBalance_Input</v>
      </c>
      <c r="R495" s="217" t="s">
        <v>169</v>
      </c>
      <c r="S495" s="217" t="s">
        <v>848</v>
      </c>
      <c r="T495" s="217" t="s">
        <v>850</v>
      </c>
    </row>
    <row r="496" spans="2:20" x14ac:dyDescent="0.3">
      <c r="B496" s="214" t="s">
        <v>667</v>
      </c>
      <c r="C496" s="215" t="s">
        <v>683</v>
      </c>
      <c r="D496" s="216" t="str">
        <f>[2]!HsSetValue(E496,"FCC","Scenario#"&amp;R496&amp;";Years#"&amp;J496&amp;";Period#"&amp;I496&amp;";View#"&amp;S496&amp;";Entity#"&amp;H496&amp;";Data Source#"&amp;K496&amp;";Account#"&amp;F496&amp;";Intercompany#"&amp;L496&amp;";Movement#"&amp;Q496&amp;";Consolidation#"&amp;T496&amp;";Custom1#"&amp;M496&amp;";Custom2#"&amp;N496&amp;";Custom3#"&amp;O496&amp;";Custom4#"&amp;P496&amp;"")</f>
        <v>#Invalid Syntax</v>
      </c>
      <c r="E496" s="216">
        <f>SUMIFS('Investment Analysis'!$H$22:$H$69,'Investment Analysis'!$E$22:$E$69,"Investment Agreements",'Investment Analysis'!$AB$22:$AB$69,"0")+SUMIFS('Investment Analysis'!$H$22:$H$69,'Investment Analysis'!$E$22:$E$69,"Investment Agreements",'Investment Analysis'!$AI$22:$AI$69,"0")</f>
        <v>0</v>
      </c>
      <c r="F496" s="217" t="s">
        <v>674</v>
      </c>
      <c r="G496" s="217" t="s">
        <v>1059</v>
      </c>
      <c r="H496" s="218" t="e">
        <f t="shared" si="178"/>
        <v>#N/A</v>
      </c>
      <c r="I496" s="218" t="str">
        <f t="shared" si="178"/>
        <v>Jun</v>
      </c>
      <c r="J496" s="217" t="str">
        <f t="shared" si="178"/>
        <v>FY25</v>
      </c>
      <c r="K496" s="217" t="str">
        <f t="shared" si="178"/>
        <v>FCCS_Other Data</v>
      </c>
      <c r="L496" s="217" t="str">
        <f t="shared" si="178"/>
        <v>FCCS_No Intercompany</v>
      </c>
      <c r="M496" s="217" t="str">
        <f t="shared" si="179"/>
        <v>No Custom1</v>
      </c>
      <c r="N496" s="217" t="str">
        <f t="shared" si="178"/>
        <v>No Custom2</v>
      </c>
      <c r="O496" s="217" t="s">
        <v>609</v>
      </c>
      <c r="P496" s="217" t="s">
        <v>718</v>
      </c>
      <c r="Q496" s="217" t="str">
        <f t="shared" si="180"/>
        <v>FCCS_ClosingBalance_Input</v>
      </c>
      <c r="R496" s="217" t="s">
        <v>169</v>
      </c>
      <c r="S496" s="217" t="s">
        <v>848</v>
      </c>
      <c r="T496" s="217" t="s">
        <v>850</v>
      </c>
    </row>
    <row r="498" spans="2:20" x14ac:dyDescent="0.3">
      <c r="B498" s="219" t="s">
        <v>1014</v>
      </c>
      <c r="C498" s="220" t="s">
        <v>683</v>
      </c>
      <c r="D498" s="221" t="str">
        <f>[2]!HsSetValue(E498,"FCC","Scenario#"&amp;R498&amp;";Years#"&amp;J498&amp;";Period#"&amp;I498&amp;";View#"&amp;S498&amp;";Entity#"&amp;H498&amp;";Data Source#"&amp;K498&amp;";Account#"&amp;F498&amp;";Intercompany#"&amp;L498&amp;";Movement#"&amp;Q498&amp;";Consolidation#"&amp;T498&amp;";Custom1#"&amp;M498&amp;";Custom2#"&amp;N498&amp;";Custom3#"&amp;O498&amp;";Custom4#"&amp;P498&amp;"")</f>
        <v>#Invalid Syntax</v>
      </c>
      <c r="E498" s="221">
        <f>SUMIFS('Investment Analysis'!$H$22:$H$69,'Investment Analysis'!$E$22:$E$69,"Investment Agreements",'Investment Analysis'!$AK$22:$AK$69,"21")</f>
        <v>0</v>
      </c>
      <c r="F498" s="222" t="s">
        <v>675</v>
      </c>
      <c r="G498" s="222" t="s">
        <v>1029</v>
      </c>
      <c r="H498" s="223" t="e">
        <f t="shared" ref="H498:N502" si="182">+H$2</f>
        <v>#N/A</v>
      </c>
      <c r="I498" s="223" t="str">
        <f t="shared" si="182"/>
        <v>Jun</v>
      </c>
      <c r="J498" s="222" t="str">
        <f t="shared" si="182"/>
        <v>FY25</v>
      </c>
      <c r="K498" s="222" t="s">
        <v>843</v>
      </c>
      <c r="L498" s="222" t="s">
        <v>844</v>
      </c>
      <c r="M498" s="222" t="s">
        <v>845</v>
      </c>
      <c r="N498" s="222" t="s">
        <v>846</v>
      </c>
      <c r="O498" s="222" t="s">
        <v>729</v>
      </c>
      <c r="P498" s="222" t="s">
        <v>718</v>
      </c>
      <c r="Q498" s="222" t="str">
        <f t="shared" si="180"/>
        <v>FCCS_ClosingBalance_Input</v>
      </c>
      <c r="R498" s="222" t="s">
        <v>169</v>
      </c>
      <c r="S498" s="222" t="s">
        <v>848</v>
      </c>
      <c r="T498" s="222" t="s">
        <v>850</v>
      </c>
    </row>
    <row r="499" spans="2:20" x14ac:dyDescent="0.3">
      <c r="B499" s="219" t="s">
        <v>1014</v>
      </c>
      <c r="C499" s="220" t="s">
        <v>683</v>
      </c>
      <c r="D499" s="221" t="str">
        <f>[2]!HsSetValue(E499,"FCC","Scenario#"&amp;R499&amp;";Years#"&amp;J499&amp;";Period#"&amp;I499&amp;";View#"&amp;S499&amp;";Entity#"&amp;H499&amp;";Data Source#"&amp;K499&amp;";Account#"&amp;F499&amp;";Intercompany#"&amp;L499&amp;";Movement#"&amp;Q499&amp;";Consolidation#"&amp;T499&amp;";Custom1#"&amp;M499&amp;";Custom2#"&amp;N499&amp;";Custom3#"&amp;O499&amp;";Custom4#"&amp;P499&amp;"")</f>
        <v>#Invalid Syntax</v>
      </c>
      <c r="E499" s="221">
        <f>SUMIFS('Investment Analysis'!$H$22:$H$69,'Investment Analysis'!$E$22:$E$69,"Investment Agreements",'Investment Analysis'!$AK$22:$AK$69,"22")</f>
        <v>0</v>
      </c>
      <c r="F499" s="222" t="s">
        <v>675</v>
      </c>
      <c r="G499" s="222" t="s">
        <v>1029</v>
      </c>
      <c r="H499" s="223" t="e">
        <f t="shared" si="182"/>
        <v>#N/A</v>
      </c>
      <c r="I499" s="223" t="str">
        <f t="shared" si="182"/>
        <v>Jun</v>
      </c>
      <c r="J499" s="222" t="str">
        <f t="shared" si="182"/>
        <v>FY25</v>
      </c>
      <c r="K499" s="222" t="str">
        <f t="shared" si="182"/>
        <v>FCCS_Other Data</v>
      </c>
      <c r="L499" s="222" t="str">
        <f t="shared" si="182"/>
        <v>FCCS_No Intercompany</v>
      </c>
      <c r="M499" s="222" t="str">
        <f>+M$1</f>
        <v>No Custom1</v>
      </c>
      <c r="N499" s="222" t="str">
        <f t="shared" si="182"/>
        <v>No Custom2</v>
      </c>
      <c r="O499" s="222" t="s">
        <v>730</v>
      </c>
      <c r="P499" s="222" t="s">
        <v>718</v>
      </c>
      <c r="Q499" s="222" t="str">
        <f t="shared" si="180"/>
        <v>FCCS_ClosingBalance_Input</v>
      </c>
      <c r="R499" s="222" t="s">
        <v>169</v>
      </c>
      <c r="S499" s="222" t="s">
        <v>848</v>
      </c>
      <c r="T499" s="222" t="s">
        <v>850</v>
      </c>
    </row>
    <row r="500" spans="2:20" x14ac:dyDescent="0.3">
      <c r="B500" s="219" t="s">
        <v>1014</v>
      </c>
      <c r="C500" s="220" t="s">
        <v>683</v>
      </c>
      <c r="D500" s="221" t="str">
        <f>[2]!HsSetValue(E500,"FCC","Scenario#"&amp;R500&amp;";Years#"&amp;J500&amp;";Period#"&amp;I500&amp;";View#"&amp;S500&amp;";Entity#"&amp;H500&amp;";Data Source#"&amp;K500&amp;";Account#"&amp;F500&amp;";Intercompany#"&amp;L500&amp;";Movement#"&amp;Q500&amp;";Consolidation#"&amp;T500&amp;";Custom1#"&amp;M500&amp;";Custom2#"&amp;N500&amp;";Custom3#"&amp;O500&amp;";Custom4#"&amp;P500&amp;"")</f>
        <v>#Invalid Syntax</v>
      </c>
      <c r="E500" s="221">
        <f>SUMIFS('Investment Analysis'!$H$22:$H$69,'Investment Analysis'!$E$22:$E$69,"Investment Agreements",'Investment Analysis'!$AK$22:$AK$69,"23")</f>
        <v>0</v>
      </c>
      <c r="F500" s="222" t="s">
        <v>675</v>
      </c>
      <c r="G500" s="222" t="s">
        <v>1029</v>
      </c>
      <c r="H500" s="223" t="e">
        <f t="shared" si="182"/>
        <v>#N/A</v>
      </c>
      <c r="I500" s="223" t="str">
        <f t="shared" si="182"/>
        <v>Jun</v>
      </c>
      <c r="J500" s="222" t="str">
        <f t="shared" si="182"/>
        <v>FY25</v>
      </c>
      <c r="K500" s="222" t="str">
        <f t="shared" si="182"/>
        <v>FCCS_Other Data</v>
      </c>
      <c r="L500" s="222" t="str">
        <f t="shared" si="182"/>
        <v>FCCS_No Intercompany</v>
      </c>
      <c r="M500" s="222" t="str">
        <f>+M$1</f>
        <v>No Custom1</v>
      </c>
      <c r="N500" s="222" t="str">
        <f t="shared" si="182"/>
        <v>No Custom2</v>
      </c>
      <c r="O500" s="222" t="s">
        <v>731</v>
      </c>
      <c r="P500" s="222" t="s">
        <v>718</v>
      </c>
      <c r="Q500" s="222" t="str">
        <f t="shared" si="180"/>
        <v>FCCS_ClosingBalance_Input</v>
      </c>
      <c r="R500" s="222" t="s">
        <v>169</v>
      </c>
      <c r="S500" s="222" t="s">
        <v>848</v>
      </c>
      <c r="T500" s="222" t="s">
        <v>850</v>
      </c>
    </row>
    <row r="501" spans="2:20" x14ac:dyDescent="0.3">
      <c r="B501" s="219" t="s">
        <v>1014</v>
      </c>
      <c r="C501" s="220" t="s">
        <v>683</v>
      </c>
      <c r="D501" s="221" t="str">
        <f>[2]!HsSetValue(E501,"FCC","Scenario#"&amp;R501&amp;";Years#"&amp;J501&amp;";Period#"&amp;I501&amp;";View#"&amp;S501&amp;";Entity#"&amp;H501&amp;";Data Source#"&amp;K501&amp;";Account#"&amp;F501&amp;";Intercompany#"&amp;L501&amp;";Movement#"&amp;Q501&amp;";Consolidation#"&amp;T501&amp;";Custom1#"&amp;M501&amp;";Custom2#"&amp;N501&amp;";Custom3#"&amp;O501&amp;";Custom4#"&amp;P501&amp;"")</f>
        <v>#Invalid Syntax</v>
      </c>
      <c r="E501" s="221">
        <f>SUMIFS('Investment Analysis'!$H$22:$H$69,'Investment Analysis'!$E$22:$E$69,"Investment Agreements",'Investment Analysis'!$AK$22:$AK$69,"24")</f>
        <v>0</v>
      </c>
      <c r="F501" s="222" t="s">
        <v>675</v>
      </c>
      <c r="G501" s="222" t="s">
        <v>1029</v>
      </c>
      <c r="H501" s="223" t="e">
        <f t="shared" si="182"/>
        <v>#N/A</v>
      </c>
      <c r="I501" s="223" t="str">
        <f t="shared" si="182"/>
        <v>Jun</v>
      </c>
      <c r="J501" s="222" t="str">
        <f t="shared" si="182"/>
        <v>FY25</v>
      </c>
      <c r="K501" s="222" t="str">
        <f t="shared" si="182"/>
        <v>FCCS_Other Data</v>
      </c>
      <c r="L501" s="222" t="str">
        <f t="shared" si="182"/>
        <v>FCCS_No Intercompany</v>
      </c>
      <c r="M501" s="222" t="str">
        <f>+M$1</f>
        <v>No Custom1</v>
      </c>
      <c r="N501" s="222" t="str">
        <f t="shared" si="182"/>
        <v>No Custom2</v>
      </c>
      <c r="O501" s="222" t="s">
        <v>732</v>
      </c>
      <c r="P501" s="222" t="s">
        <v>718</v>
      </c>
      <c r="Q501" s="222" t="str">
        <f t="shared" si="180"/>
        <v>FCCS_ClosingBalance_Input</v>
      </c>
      <c r="R501" s="222" t="s">
        <v>169</v>
      </c>
      <c r="S501" s="222" t="s">
        <v>848</v>
      </c>
      <c r="T501" s="222" t="s">
        <v>850</v>
      </c>
    </row>
    <row r="502" spans="2:20" x14ac:dyDescent="0.3">
      <c r="B502" s="219" t="s">
        <v>1014</v>
      </c>
      <c r="C502" s="220" t="s">
        <v>683</v>
      </c>
      <c r="D502" s="221" t="str">
        <f>[2]!HsSetValue(E502,"FCC","Scenario#"&amp;R502&amp;";Years#"&amp;J502&amp;";Period#"&amp;I502&amp;";View#"&amp;S502&amp;";Entity#"&amp;H502&amp;";Data Source#"&amp;K502&amp;";Account#"&amp;F502&amp;";Intercompany#"&amp;L502&amp;";Movement#"&amp;Q502&amp;";Consolidation#"&amp;T502&amp;";Custom1#"&amp;M502&amp;";Custom2#"&amp;N502&amp;";Custom3#"&amp;O502&amp;";Custom4#"&amp;P502&amp;"")</f>
        <v>#Invalid Syntax</v>
      </c>
      <c r="E502" s="221">
        <f>SUMIFS('Investment Analysis'!$H$22:$H$69,'Investment Analysis'!$E$22:$E$69,"Investment Agreements",'Investment Analysis'!$AK$22:$AK$69,"25")</f>
        <v>0</v>
      </c>
      <c r="F502" s="222" t="s">
        <v>675</v>
      </c>
      <c r="G502" s="222" t="s">
        <v>1030</v>
      </c>
      <c r="H502" s="223" t="e">
        <f t="shared" si="182"/>
        <v>#N/A</v>
      </c>
      <c r="I502" s="223" t="str">
        <f t="shared" si="182"/>
        <v>Jun</v>
      </c>
      <c r="J502" s="222" t="str">
        <f t="shared" si="182"/>
        <v>FY25</v>
      </c>
      <c r="K502" s="222" t="str">
        <f t="shared" si="182"/>
        <v>FCCS_Other Data</v>
      </c>
      <c r="L502" s="222" t="str">
        <f t="shared" si="182"/>
        <v>FCCS_No Intercompany</v>
      </c>
      <c r="M502" s="222" t="str">
        <f>+M$1</f>
        <v>No Custom1</v>
      </c>
      <c r="N502" s="222" t="str">
        <f t="shared" si="182"/>
        <v>No Custom2</v>
      </c>
      <c r="O502" s="222" t="s">
        <v>733</v>
      </c>
      <c r="P502" s="222" t="s">
        <v>718</v>
      </c>
      <c r="Q502" s="222" t="str">
        <f t="shared" si="180"/>
        <v>FCCS_ClosingBalance_Input</v>
      </c>
      <c r="R502" s="222" t="s">
        <v>169</v>
      </c>
      <c r="S502" s="222" t="s">
        <v>848</v>
      </c>
      <c r="T502" s="222" t="s">
        <v>850</v>
      </c>
    </row>
    <row r="503" spans="2:20" outlineLevel="1" x14ac:dyDescent="0.3">
      <c r="B503" s="210"/>
      <c r="C503" s="224"/>
      <c r="D503" s="212"/>
      <c r="E503" s="212"/>
    </row>
    <row r="504" spans="2:20" x14ac:dyDescent="0.3">
      <c r="B504" s="364" t="s">
        <v>668</v>
      </c>
      <c r="C504" s="365" t="s">
        <v>103</v>
      </c>
      <c r="D504" s="366" t="str">
        <f>[2]!HsSetValue(E504,"FCC","Scenario#"&amp;R504&amp;";Years#"&amp;J504&amp;";Period#"&amp;I504&amp;";View#"&amp;S504&amp;";Entity#"&amp;H504&amp;";Data Source#"&amp;K504&amp;";Account#"&amp;F504&amp;";Intercompany#"&amp;L504&amp;";Movement#"&amp;Q504&amp;";Consolidation#"&amp;T504&amp;";Custom1#"&amp;M504&amp;";Custom2#"&amp;N504&amp;";Custom3#"&amp;O504&amp;";Custom4#"&amp;P504&amp;"")</f>
        <v>#Invalid Syntax</v>
      </c>
      <c r="E504" s="366">
        <f>SUMIF('Investment Analysis'!$E$22:$E$69,'FCC Investments - Load Tab'!C504,'Investment Analysis'!$K$22:$K$69)</f>
        <v>0</v>
      </c>
      <c r="F504" s="367" t="s">
        <v>673</v>
      </c>
      <c r="G504" s="367" t="s">
        <v>692</v>
      </c>
      <c r="H504" s="368" t="e">
        <f>+H$2</f>
        <v>#N/A</v>
      </c>
      <c r="I504" s="368" t="str">
        <f t="shared" ref="I504:J508" si="183">+I$2</f>
        <v>Jun</v>
      </c>
      <c r="J504" s="367" t="str">
        <f t="shared" si="183"/>
        <v>FY25</v>
      </c>
      <c r="K504" s="367" t="s">
        <v>843</v>
      </c>
      <c r="L504" s="367" t="s">
        <v>844</v>
      </c>
      <c r="M504" s="367" t="s">
        <v>845</v>
      </c>
      <c r="N504" s="367" t="s">
        <v>846</v>
      </c>
      <c r="O504" s="367" t="s">
        <v>721</v>
      </c>
      <c r="P504" s="367" t="s">
        <v>573</v>
      </c>
      <c r="Q504" s="367" t="str">
        <f t="shared" ref="Q504:Q508" si="184">Q$2</f>
        <v>FCCS_ClosingBalance_Input</v>
      </c>
      <c r="R504" s="367" t="s">
        <v>169</v>
      </c>
      <c r="S504" s="367" t="s">
        <v>848</v>
      </c>
      <c r="T504" s="367" t="s">
        <v>850</v>
      </c>
    </row>
    <row r="505" spans="2:20" x14ac:dyDescent="0.3">
      <c r="B505" s="364" t="s">
        <v>668</v>
      </c>
      <c r="C505" s="365" t="s">
        <v>103</v>
      </c>
      <c r="D505" s="366" t="str">
        <f>[2]!HsSetValue(E505,"FCC","Scenario#"&amp;R505&amp;";Years#"&amp;J505&amp;";Period#"&amp;I505&amp;";View#"&amp;S505&amp;";Entity#"&amp;H505&amp;";Data Source#"&amp;K505&amp;";Account#"&amp;F505&amp;";Intercompany#"&amp;L505&amp;";Movement#"&amp;Q505&amp;";Consolidation#"&amp;T505&amp;";Custom1#"&amp;M505&amp;";Custom2#"&amp;N505&amp;";Custom3#"&amp;O505&amp;";Custom4#"&amp;P505&amp;"")</f>
        <v>#Invalid Syntax</v>
      </c>
      <c r="E505" s="366">
        <f>SUMIF('Investment Analysis'!$E$22:$E$69,'FCC Investments - Load Tab'!C504,'Investment Analysis'!$L$22:$L$69)</f>
        <v>0</v>
      </c>
      <c r="F505" s="367" t="s">
        <v>673</v>
      </c>
      <c r="G505" s="367" t="s">
        <v>692</v>
      </c>
      <c r="H505" s="368" t="e">
        <f>+H$2</f>
        <v>#N/A</v>
      </c>
      <c r="I505" s="368" t="str">
        <f t="shared" si="183"/>
        <v>Jun</v>
      </c>
      <c r="J505" s="367" t="str">
        <f t="shared" si="183"/>
        <v>FY25</v>
      </c>
      <c r="K505" s="367" t="s">
        <v>843</v>
      </c>
      <c r="L505" s="367" t="s">
        <v>844</v>
      </c>
      <c r="M505" s="367" t="s">
        <v>845</v>
      </c>
      <c r="N505" s="367" t="s">
        <v>846</v>
      </c>
      <c r="O505" s="367" t="s">
        <v>722</v>
      </c>
      <c r="P505" s="367" t="s">
        <v>573</v>
      </c>
      <c r="Q505" s="367" t="str">
        <f t="shared" si="184"/>
        <v>FCCS_ClosingBalance_Input</v>
      </c>
      <c r="R505" s="367" t="s">
        <v>169</v>
      </c>
      <c r="S505" s="367" t="s">
        <v>848</v>
      </c>
      <c r="T505" s="367" t="s">
        <v>850</v>
      </c>
    </row>
    <row r="506" spans="2:20" x14ac:dyDescent="0.3">
      <c r="B506" s="364" t="s">
        <v>668</v>
      </c>
      <c r="C506" s="365" t="s">
        <v>103</v>
      </c>
      <c r="D506" s="366" t="str">
        <f>[2]!HsSetValue(E506,"FCC","Scenario#"&amp;R506&amp;";Years#"&amp;J506&amp;";Period#"&amp;I506&amp;";View#"&amp;S506&amp;";Entity#"&amp;H506&amp;";Data Source#"&amp;K506&amp;";Account#"&amp;F506&amp;";Intercompany#"&amp;L506&amp;";Movement#"&amp;Q506&amp;";Consolidation#"&amp;T506&amp;";Custom1#"&amp;M506&amp;";Custom2#"&amp;N506&amp;";Custom3#"&amp;O506&amp;";Custom4#"&amp;P506&amp;"")</f>
        <v>#Invalid Syntax</v>
      </c>
      <c r="E506" s="366">
        <f>SUMIF('Investment Analysis'!$E$22:$E$69,'FCC Investments - Load Tab'!C504,'Investment Analysis'!$M$22:$M$69)</f>
        <v>0</v>
      </c>
      <c r="F506" s="367" t="s">
        <v>673</v>
      </c>
      <c r="G506" s="367" t="s">
        <v>692</v>
      </c>
      <c r="H506" s="368" t="e">
        <f>+H$2</f>
        <v>#N/A</v>
      </c>
      <c r="I506" s="368" t="str">
        <f t="shared" si="183"/>
        <v>Jun</v>
      </c>
      <c r="J506" s="367" t="str">
        <f t="shared" si="183"/>
        <v>FY25</v>
      </c>
      <c r="K506" s="367" t="s">
        <v>843</v>
      </c>
      <c r="L506" s="367" t="s">
        <v>844</v>
      </c>
      <c r="M506" s="367" t="s">
        <v>845</v>
      </c>
      <c r="N506" s="367" t="s">
        <v>846</v>
      </c>
      <c r="O506" s="367" t="s">
        <v>723</v>
      </c>
      <c r="P506" s="367" t="s">
        <v>573</v>
      </c>
      <c r="Q506" s="367" t="str">
        <f t="shared" si="184"/>
        <v>FCCS_ClosingBalance_Input</v>
      </c>
      <c r="R506" s="367" t="s">
        <v>169</v>
      </c>
      <c r="S506" s="367" t="s">
        <v>848</v>
      </c>
      <c r="T506" s="367" t="s">
        <v>850</v>
      </c>
    </row>
    <row r="507" spans="2:20" x14ac:dyDescent="0.3">
      <c r="B507" s="364" t="s">
        <v>668</v>
      </c>
      <c r="C507" s="365" t="s">
        <v>103</v>
      </c>
      <c r="D507" s="366" t="str">
        <f>[2]!HsSetValue(E507,"FCC","Scenario#"&amp;R507&amp;";Years#"&amp;J507&amp;";Period#"&amp;I507&amp;";View#"&amp;S507&amp;";Entity#"&amp;H507&amp;";Data Source#"&amp;K507&amp;";Account#"&amp;F507&amp;";Intercompany#"&amp;L507&amp;";Movement#"&amp;Q507&amp;";Consolidation#"&amp;T507&amp;";Custom1#"&amp;M507&amp;";Custom2#"&amp;N507&amp;";Custom3#"&amp;O507&amp;";Custom4#"&amp;P507&amp;"")</f>
        <v>#Invalid Syntax</v>
      </c>
      <c r="E507" s="366">
        <f>SUMIF('Investment Analysis'!$E$22:$E$69,'FCC Investments - Load Tab'!C507,'Investment Analysis'!$N$22:$N$69)</f>
        <v>0</v>
      </c>
      <c r="F507" s="367" t="s">
        <v>673</v>
      </c>
      <c r="G507" s="367" t="s">
        <v>692</v>
      </c>
      <c r="H507" s="368" t="e">
        <f>+H$2</f>
        <v>#N/A</v>
      </c>
      <c r="I507" s="368" t="str">
        <f t="shared" si="183"/>
        <v>Jun</v>
      </c>
      <c r="J507" s="367" t="str">
        <f t="shared" si="183"/>
        <v>FY25</v>
      </c>
      <c r="K507" s="367" t="s">
        <v>843</v>
      </c>
      <c r="L507" s="367" t="s">
        <v>844</v>
      </c>
      <c r="M507" s="367" t="s">
        <v>845</v>
      </c>
      <c r="N507" s="367" t="s">
        <v>846</v>
      </c>
      <c r="O507" s="367" t="s">
        <v>724</v>
      </c>
      <c r="P507" s="367" t="s">
        <v>573</v>
      </c>
      <c r="Q507" s="367" t="str">
        <f t="shared" si="184"/>
        <v>FCCS_ClosingBalance_Input</v>
      </c>
      <c r="R507" s="367" t="s">
        <v>169</v>
      </c>
      <c r="S507" s="367" t="s">
        <v>848</v>
      </c>
      <c r="T507" s="367" t="s">
        <v>850</v>
      </c>
    </row>
    <row r="508" spans="2:20" x14ac:dyDescent="0.3">
      <c r="B508" s="364" t="s">
        <v>668</v>
      </c>
      <c r="C508" s="365" t="s">
        <v>103</v>
      </c>
      <c r="D508" s="366" t="str">
        <f>[2]!HsSetValue(E508,"FCC","Scenario#"&amp;R508&amp;";Years#"&amp;J508&amp;";Period#"&amp;I508&amp;";View#"&amp;S508&amp;";Entity#"&amp;H508&amp;";Data Source#"&amp;K508&amp;";Account#"&amp;F508&amp;";Intercompany#"&amp;L508&amp;";Movement#"&amp;Q508&amp;";Consolidation#"&amp;T508&amp;";Custom1#"&amp;M508&amp;";Custom2#"&amp;N508&amp;";Custom3#"&amp;O508&amp;";Custom4#"&amp;P508&amp;"")</f>
        <v>#Invalid Syntax</v>
      </c>
      <c r="E508" s="366">
        <f>SUMIF('Investment Analysis'!$E$2:$E$69,'FCC Investments - Load Tab'!C508,'Investment Analysis'!$O$2:$O$69)</f>
        <v>0</v>
      </c>
      <c r="F508" s="367" t="s">
        <v>673</v>
      </c>
      <c r="G508" s="367" t="s">
        <v>692</v>
      </c>
      <c r="H508" s="368" t="e">
        <f>+H$2</f>
        <v>#N/A</v>
      </c>
      <c r="I508" s="368" t="str">
        <f t="shared" si="183"/>
        <v>Jun</v>
      </c>
      <c r="J508" s="367" t="str">
        <f t="shared" si="183"/>
        <v>FY25</v>
      </c>
      <c r="K508" s="367" t="s">
        <v>843</v>
      </c>
      <c r="L508" s="367" t="s">
        <v>844</v>
      </c>
      <c r="M508" s="367" t="s">
        <v>845</v>
      </c>
      <c r="N508" s="367" t="s">
        <v>846</v>
      </c>
      <c r="O508" s="367" t="s">
        <v>725</v>
      </c>
      <c r="P508" s="367" t="s">
        <v>573</v>
      </c>
      <c r="Q508" s="367" t="str">
        <f t="shared" si="184"/>
        <v>FCCS_ClosingBalance_Input</v>
      </c>
      <c r="R508" s="367" t="s">
        <v>169</v>
      </c>
      <c r="S508" s="367" t="s">
        <v>848</v>
      </c>
      <c r="T508" s="367" t="s">
        <v>850</v>
      </c>
    </row>
    <row r="509" spans="2:20" x14ac:dyDescent="0.3">
      <c r="B509" s="210"/>
      <c r="C509" s="211"/>
      <c r="D509" s="212"/>
      <c r="E509" s="212"/>
    </row>
    <row r="510" spans="2:20" x14ac:dyDescent="0.3">
      <c r="B510" s="214" t="s">
        <v>667</v>
      </c>
      <c r="C510" s="215" t="s">
        <v>103</v>
      </c>
      <c r="D510" s="216" t="str">
        <f>[2]!HsSetValue(E510,"FCC","Scenario#"&amp;R510&amp;";Years#"&amp;J510&amp;";Period#"&amp;I510&amp;";View#"&amp;S510&amp;";Entity#"&amp;H510&amp;";Data Source#"&amp;K510&amp;";Account#"&amp;F510&amp;";Intercompany#"&amp;L510&amp;";Movement#"&amp;Q510&amp;";Consolidation#"&amp;T510&amp;";Custom1#"&amp;M510&amp;";Custom2#"&amp;N510&amp;";Custom3#"&amp;O510&amp;";Custom4#"&amp;P510&amp;"")</f>
        <v>#Invalid Syntax</v>
      </c>
      <c r="E510" s="216">
        <f>SUMIFS('Investment Analysis'!$H$22:$H$69,'Investment Analysis'!$E$22:$E$69,"Money Market Mutual Funds",'Investment Analysis'!$AB$22:$AB$69,"10")</f>
        <v>0</v>
      </c>
      <c r="F510" s="217" t="s">
        <v>674</v>
      </c>
      <c r="G510" s="217" t="s">
        <v>1060</v>
      </c>
      <c r="H510" s="218" t="e">
        <f t="shared" ref="H510:N523" si="185">+H$2</f>
        <v>#N/A</v>
      </c>
      <c r="I510" s="218" t="str">
        <f t="shared" si="185"/>
        <v>Jun</v>
      </c>
      <c r="J510" s="217" t="str">
        <f t="shared" si="185"/>
        <v>FY25</v>
      </c>
      <c r="K510" s="217" t="s">
        <v>843</v>
      </c>
      <c r="L510" s="217" t="s">
        <v>844</v>
      </c>
      <c r="M510" s="217" t="s">
        <v>845</v>
      </c>
      <c r="N510" s="217" t="s">
        <v>846</v>
      </c>
      <c r="O510" s="217" t="s">
        <v>433</v>
      </c>
      <c r="P510" s="217" t="s">
        <v>573</v>
      </c>
      <c r="Q510" s="217" t="str">
        <f t="shared" ref="Q510:Q523" si="186">Q$2</f>
        <v>FCCS_ClosingBalance_Input</v>
      </c>
      <c r="R510" s="217" t="s">
        <v>169</v>
      </c>
      <c r="S510" s="217" t="s">
        <v>848</v>
      </c>
      <c r="T510" s="217" t="s">
        <v>850</v>
      </c>
    </row>
    <row r="511" spans="2:20" x14ac:dyDescent="0.3">
      <c r="B511" s="214" t="s">
        <v>667</v>
      </c>
      <c r="C511" s="215" t="s">
        <v>103</v>
      </c>
      <c r="D511" s="216" t="str">
        <f>[2]!HsSetValue(E511,"FCC","Scenario#"&amp;R511&amp;";Years#"&amp;J511&amp;";Period#"&amp;I511&amp;";View#"&amp;S511&amp;";Entity#"&amp;H511&amp;";Data Source#"&amp;K511&amp;";Account#"&amp;F511&amp;";Intercompany#"&amp;L511&amp;";Movement#"&amp;Q511&amp;";Consolidation#"&amp;T511&amp;";Custom1#"&amp;M511&amp;";Custom2#"&amp;N511&amp;";Custom3#"&amp;O511&amp;";Custom4#"&amp;P511&amp;"")</f>
        <v>#Invalid Syntax</v>
      </c>
      <c r="E511" s="216">
        <f>SUMIFS('Investment Analysis'!$H$22:$H$69,'Investment Analysis'!$E$22:$E$69,"Money Market Mutual Funds",'Investment Analysis'!$AB$22:$AB$69,"9")</f>
        <v>0</v>
      </c>
      <c r="F511" s="217" t="s">
        <v>674</v>
      </c>
      <c r="G511" s="217" t="s">
        <v>1060</v>
      </c>
      <c r="H511" s="218" t="e">
        <f t="shared" si="185"/>
        <v>#N/A</v>
      </c>
      <c r="I511" s="218" t="str">
        <f t="shared" si="185"/>
        <v>Jun</v>
      </c>
      <c r="J511" s="217" t="str">
        <f t="shared" si="185"/>
        <v>FY25</v>
      </c>
      <c r="K511" s="217" t="s">
        <v>843</v>
      </c>
      <c r="L511" s="217" t="s">
        <v>844</v>
      </c>
      <c r="M511" s="217" t="s">
        <v>845</v>
      </c>
      <c r="N511" s="217" t="s">
        <v>846</v>
      </c>
      <c r="O511" s="217" t="s">
        <v>596</v>
      </c>
      <c r="P511" s="217" t="s">
        <v>573</v>
      </c>
      <c r="Q511" s="217" t="str">
        <f t="shared" si="186"/>
        <v>FCCS_ClosingBalance_Input</v>
      </c>
      <c r="R511" s="217" t="s">
        <v>169</v>
      </c>
      <c r="S511" s="217" t="s">
        <v>848</v>
      </c>
      <c r="T511" s="217" t="s">
        <v>850</v>
      </c>
    </row>
    <row r="512" spans="2:20" x14ac:dyDescent="0.3">
      <c r="B512" s="214" t="s">
        <v>667</v>
      </c>
      <c r="C512" s="215" t="s">
        <v>103</v>
      </c>
      <c r="D512" s="216" t="str">
        <f>[2]!HsSetValue(E512,"FCC","Scenario#"&amp;R512&amp;";Years#"&amp;J512&amp;";Period#"&amp;I512&amp;";View#"&amp;S512&amp;";Entity#"&amp;H512&amp;";Data Source#"&amp;K512&amp;";Account#"&amp;F512&amp;";Intercompany#"&amp;L512&amp;";Movement#"&amp;Q512&amp;";Consolidation#"&amp;T512&amp;";Custom1#"&amp;M512&amp;";Custom2#"&amp;N512&amp;";Custom3#"&amp;O512&amp;";Custom4#"&amp;P512&amp;"")</f>
        <v>#Invalid Syntax</v>
      </c>
      <c r="E512" s="216">
        <f>SUMIFS('Investment Analysis'!$H$22:$H$69,'Investment Analysis'!$E$22:$E$69,"Money Market Mutual Funds",'Investment Analysis'!$AB$22:$AB$69,"8")</f>
        <v>0</v>
      </c>
      <c r="F512" s="217" t="s">
        <v>674</v>
      </c>
      <c r="G512" s="217" t="s">
        <v>1060</v>
      </c>
      <c r="H512" s="218" t="e">
        <f t="shared" si="185"/>
        <v>#N/A</v>
      </c>
      <c r="I512" s="218" t="str">
        <f t="shared" si="185"/>
        <v>Jun</v>
      </c>
      <c r="J512" s="217" t="str">
        <f t="shared" si="185"/>
        <v>FY25</v>
      </c>
      <c r="K512" s="217" t="s">
        <v>843</v>
      </c>
      <c r="L512" s="217" t="s">
        <v>844</v>
      </c>
      <c r="M512" s="217" t="s">
        <v>845</v>
      </c>
      <c r="N512" s="217" t="s">
        <v>846</v>
      </c>
      <c r="O512" s="217" t="s">
        <v>61</v>
      </c>
      <c r="P512" s="217" t="s">
        <v>573</v>
      </c>
      <c r="Q512" s="217" t="str">
        <f t="shared" si="186"/>
        <v>FCCS_ClosingBalance_Input</v>
      </c>
      <c r="R512" s="217" t="s">
        <v>169</v>
      </c>
      <c r="S512" s="217" t="s">
        <v>848</v>
      </c>
      <c r="T512" s="217" t="s">
        <v>850</v>
      </c>
    </row>
    <row r="513" spans="2:20" x14ac:dyDescent="0.3">
      <c r="B513" s="214" t="s">
        <v>667</v>
      </c>
      <c r="C513" s="215" t="s">
        <v>103</v>
      </c>
      <c r="D513" s="216" t="str">
        <f>[2]!HsSetValue(E513,"FCC","Scenario#"&amp;R513&amp;";Years#"&amp;J513&amp;";Period#"&amp;I513&amp;";View#"&amp;S513&amp;";Entity#"&amp;H513&amp;";Data Source#"&amp;K513&amp;";Account#"&amp;F513&amp;";Intercompany#"&amp;L513&amp;";Movement#"&amp;Q513&amp;";Consolidation#"&amp;T513&amp;";Custom1#"&amp;M513&amp;";Custom2#"&amp;N513&amp;";Custom3#"&amp;O513&amp;";Custom4#"&amp;P513&amp;"")</f>
        <v>#Invalid Syntax</v>
      </c>
      <c r="E513" s="216">
        <f>SUMIFS('Investment Analysis'!$H$22:$H$69,'Investment Analysis'!$E$22:$E$69,"Money Market Mutual Funds",'Investment Analysis'!$AB$22:$AB$69,"7")</f>
        <v>0</v>
      </c>
      <c r="F513" s="217" t="s">
        <v>674</v>
      </c>
      <c r="G513" s="217" t="s">
        <v>1060</v>
      </c>
      <c r="H513" s="218" t="e">
        <f t="shared" si="185"/>
        <v>#N/A</v>
      </c>
      <c r="I513" s="218" t="str">
        <f t="shared" si="185"/>
        <v>Jun</v>
      </c>
      <c r="J513" s="217" t="str">
        <f t="shared" si="185"/>
        <v>FY25</v>
      </c>
      <c r="K513" s="217" t="s">
        <v>843</v>
      </c>
      <c r="L513" s="217" t="s">
        <v>844</v>
      </c>
      <c r="M513" s="217" t="s">
        <v>845</v>
      </c>
      <c r="N513" s="217" t="s">
        <v>846</v>
      </c>
      <c r="O513" s="217" t="s">
        <v>62</v>
      </c>
      <c r="P513" s="217" t="s">
        <v>573</v>
      </c>
      <c r="Q513" s="217" t="str">
        <f t="shared" si="186"/>
        <v>FCCS_ClosingBalance_Input</v>
      </c>
      <c r="R513" s="217" t="s">
        <v>169</v>
      </c>
      <c r="S513" s="217" t="s">
        <v>848</v>
      </c>
      <c r="T513" s="217" t="s">
        <v>850</v>
      </c>
    </row>
    <row r="514" spans="2:20" x14ac:dyDescent="0.3">
      <c r="B514" s="214" t="s">
        <v>667</v>
      </c>
      <c r="C514" s="215" t="s">
        <v>103</v>
      </c>
      <c r="D514" s="216" t="str">
        <f>[2]!HsSetValue(E514,"FCC","Scenario#"&amp;R514&amp;";Years#"&amp;J514&amp;";Period#"&amp;I514&amp;";View#"&amp;S514&amp;";Entity#"&amp;H514&amp;";Data Source#"&amp;K514&amp;";Account#"&amp;F514&amp;";Intercompany#"&amp;L514&amp;";Movement#"&amp;Q514&amp;";Consolidation#"&amp;T514&amp;";Custom1#"&amp;M514&amp;";Custom2#"&amp;N514&amp;";Custom3#"&amp;O514&amp;";Custom4#"&amp;P514&amp;"")</f>
        <v>#Invalid Syntax</v>
      </c>
      <c r="E514" s="216">
        <f>SUMIFS('Investment Analysis'!$H$22:$H$69,'Investment Analysis'!$E$22:$E$69,"Money Market Mutual Funds",'Investment Analysis'!$AB$22:$AB$69,"6")</f>
        <v>0</v>
      </c>
      <c r="F514" s="217" t="s">
        <v>674</v>
      </c>
      <c r="G514" s="217" t="s">
        <v>1060</v>
      </c>
      <c r="H514" s="218" t="e">
        <f t="shared" si="185"/>
        <v>#N/A</v>
      </c>
      <c r="I514" s="218" t="str">
        <f t="shared" si="185"/>
        <v>Jun</v>
      </c>
      <c r="J514" s="217" t="str">
        <f t="shared" si="185"/>
        <v>FY25</v>
      </c>
      <c r="K514" s="217" t="s">
        <v>843</v>
      </c>
      <c r="L514" s="217" t="s">
        <v>844</v>
      </c>
      <c r="M514" s="217" t="s">
        <v>845</v>
      </c>
      <c r="N514" s="217" t="s">
        <v>846</v>
      </c>
      <c r="O514" s="217" t="s">
        <v>436</v>
      </c>
      <c r="P514" s="217" t="s">
        <v>573</v>
      </c>
      <c r="Q514" s="217" t="str">
        <f t="shared" si="186"/>
        <v>FCCS_ClosingBalance_Input</v>
      </c>
      <c r="R514" s="217" t="s">
        <v>169</v>
      </c>
      <c r="S514" s="217" t="s">
        <v>848</v>
      </c>
      <c r="T514" s="217" t="s">
        <v>850</v>
      </c>
    </row>
    <row r="515" spans="2:20" s="371" customFormat="1" x14ac:dyDescent="0.3">
      <c r="B515" s="214" t="s">
        <v>667</v>
      </c>
      <c r="C515" s="215" t="s">
        <v>103</v>
      </c>
      <c r="D515" s="216" t="str">
        <f>[2]!HsSetValue(E515,"FCC","Scenario#"&amp;R515&amp;";Years#"&amp;J515&amp;";Period#"&amp;I515&amp;";View#"&amp;S515&amp;";Entity#"&amp;H515&amp;";Data Source#"&amp;K515&amp;";Account#"&amp;F515&amp;";Intercompany#"&amp;L515&amp;";Movement#"&amp;Q515&amp;";Consolidation#"&amp;T515&amp;";Custom1#"&amp;M515&amp;";Custom2#"&amp;N515&amp;";Custom3#"&amp;O515&amp;";Custom4#"&amp;P515&amp;"")</f>
        <v>#Invalid Syntax</v>
      </c>
      <c r="E515" s="216">
        <f>SUMIFS('Investment Analysis'!$H$22:$H$69,'Investment Analysis'!$E$22:$E$69,"Money Market Mutual Funds",'Investment Analysis'!$AB$22:$AB$69,"5")</f>
        <v>0</v>
      </c>
      <c r="F515" s="217" t="s">
        <v>674</v>
      </c>
      <c r="G515" s="217" t="s">
        <v>1060</v>
      </c>
      <c r="H515" s="218" t="e">
        <f t="shared" si="185"/>
        <v>#N/A</v>
      </c>
      <c r="I515" s="218" t="str">
        <f t="shared" si="185"/>
        <v>Jun</v>
      </c>
      <c r="J515" s="217" t="str">
        <f t="shared" si="185"/>
        <v>FY25</v>
      </c>
      <c r="K515" s="217" t="str">
        <f t="shared" si="185"/>
        <v>FCCS_Other Data</v>
      </c>
      <c r="L515" s="217" t="str">
        <f t="shared" si="185"/>
        <v>FCCS_No Intercompany</v>
      </c>
      <c r="M515" s="217" t="str">
        <f>+M$1</f>
        <v>No Custom1</v>
      </c>
      <c r="N515" s="217" t="str">
        <f t="shared" si="185"/>
        <v>No Custom2</v>
      </c>
      <c r="O515" s="217" t="s">
        <v>434</v>
      </c>
      <c r="P515" s="217" t="s">
        <v>573</v>
      </c>
      <c r="Q515" s="217" t="str">
        <f t="shared" si="186"/>
        <v>FCCS_ClosingBalance_Input</v>
      </c>
      <c r="R515" s="217" t="str">
        <f t="shared" ref="R515:S519" si="187">+R$2</f>
        <v>Actual</v>
      </c>
      <c r="S515" s="217" t="str">
        <f t="shared" si="187"/>
        <v>FCCS_YTD_Input</v>
      </c>
      <c r="T515" s="217" t="s">
        <v>850</v>
      </c>
    </row>
    <row r="516" spans="2:20" s="371" customFormat="1" x14ac:dyDescent="0.3">
      <c r="B516" s="214" t="s">
        <v>667</v>
      </c>
      <c r="C516" s="215" t="s">
        <v>103</v>
      </c>
      <c r="D516" s="216" t="str">
        <f>[2]!HsSetValue(E516,"FCC","Scenario#"&amp;R516&amp;";Years#"&amp;J516&amp;";Period#"&amp;I516&amp;";View#"&amp;S516&amp;";Entity#"&amp;H516&amp;";Data Source#"&amp;K516&amp;";Account#"&amp;F516&amp;";Intercompany#"&amp;L516&amp;";Movement#"&amp;Q516&amp;";Consolidation#"&amp;T516&amp;";Custom1#"&amp;M516&amp;";Custom2#"&amp;N516&amp;";Custom3#"&amp;O516&amp;";Custom4#"&amp;P516&amp;"")</f>
        <v>#Invalid Syntax</v>
      </c>
      <c r="E516" s="216">
        <f>SUMIFS('Investment Analysis'!$H$22:$H$69,'Investment Analysis'!$E$22:$E$69,"Money Market Mutual Funds",'Investment Analysis'!$AB$22:$AB$69,"4")</f>
        <v>0</v>
      </c>
      <c r="F516" s="217" t="s">
        <v>674</v>
      </c>
      <c r="G516" s="217" t="s">
        <v>1060</v>
      </c>
      <c r="H516" s="218" t="e">
        <f t="shared" si="185"/>
        <v>#N/A</v>
      </c>
      <c r="I516" s="218" t="str">
        <f t="shared" si="185"/>
        <v>Jun</v>
      </c>
      <c r="J516" s="217" t="str">
        <f t="shared" si="185"/>
        <v>FY25</v>
      </c>
      <c r="K516" s="217" t="str">
        <f t="shared" si="185"/>
        <v>FCCS_Other Data</v>
      </c>
      <c r="L516" s="217" t="str">
        <f t="shared" si="185"/>
        <v>FCCS_No Intercompany</v>
      </c>
      <c r="M516" s="217" t="str">
        <f>+M$1</f>
        <v>No Custom1</v>
      </c>
      <c r="N516" s="217" t="str">
        <f t="shared" si="185"/>
        <v>No Custom2</v>
      </c>
      <c r="O516" s="217" t="s">
        <v>63</v>
      </c>
      <c r="P516" s="217" t="s">
        <v>573</v>
      </c>
      <c r="Q516" s="217" t="str">
        <f t="shared" si="186"/>
        <v>FCCS_ClosingBalance_Input</v>
      </c>
      <c r="R516" s="217" t="str">
        <f t="shared" si="187"/>
        <v>Actual</v>
      </c>
      <c r="S516" s="217" t="str">
        <f t="shared" si="187"/>
        <v>FCCS_YTD_Input</v>
      </c>
      <c r="T516" s="217" t="s">
        <v>850</v>
      </c>
    </row>
    <row r="517" spans="2:20" s="371" customFormat="1" x14ac:dyDescent="0.3">
      <c r="B517" s="214" t="s">
        <v>667</v>
      </c>
      <c r="C517" s="215" t="s">
        <v>103</v>
      </c>
      <c r="D517" s="216" t="str">
        <f>[2]!HsSetValue(E517,"FCC","Scenario#"&amp;R517&amp;";Years#"&amp;J517&amp;";Period#"&amp;I517&amp;";View#"&amp;S517&amp;";Entity#"&amp;H517&amp;";Data Source#"&amp;K517&amp;";Account#"&amp;F517&amp;";Intercompany#"&amp;L517&amp;";Movement#"&amp;Q517&amp;";Consolidation#"&amp;T517&amp;";Custom1#"&amp;M517&amp;";Custom2#"&amp;N517&amp;";Custom3#"&amp;O517&amp;";Custom4#"&amp;P517&amp;"")</f>
        <v>#Invalid Syntax</v>
      </c>
      <c r="E517" s="216">
        <f>SUMIFS('Investment Analysis'!$H$22:$H$69,'Investment Analysis'!$E$22:$E$69,"Money Market Mutual Funds",'Investment Analysis'!$AB$22:$AB$69,"3")</f>
        <v>0</v>
      </c>
      <c r="F517" s="217" t="s">
        <v>674</v>
      </c>
      <c r="G517" s="217" t="s">
        <v>1060</v>
      </c>
      <c r="H517" s="218" t="e">
        <f t="shared" si="185"/>
        <v>#N/A</v>
      </c>
      <c r="I517" s="218" t="str">
        <f t="shared" si="185"/>
        <v>Jun</v>
      </c>
      <c r="J517" s="217" t="str">
        <f t="shared" si="185"/>
        <v>FY25</v>
      </c>
      <c r="K517" s="217" t="str">
        <f t="shared" si="185"/>
        <v>FCCS_Other Data</v>
      </c>
      <c r="L517" s="217" t="str">
        <f t="shared" si="185"/>
        <v>FCCS_No Intercompany</v>
      </c>
      <c r="M517" s="217" t="str">
        <f>+M$1</f>
        <v>No Custom1</v>
      </c>
      <c r="N517" s="217" t="str">
        <f t="shared" si="185"/>
        <v>No Custom2</v>
      </c>
      <c r="O517" s="217" t="s">
        <v>622</v>
      </c>
      <c r="P517" s="217" t="s">
        <v>573</v>
      </c>
      <c r="Q517" s="217" t="str">
        <f t="shared" si="186"/>
        <v>FCCS_ClosingBalance_Input</v>
      </c>
      <c r="R517" s="217" t="str">
        <f t="shared" si="187"/>
        <v>Actual</v>
      </c>
      <c r="S517" s="217" t="str">
        <f t="shared" si="187"/>
        <v>FCCS_YTD_Input</v>
      </c>
      <c r="T517" s="217" t="s">
        <v>850</v>
      </c>
    </row>
    <row r="518" spans="2:20" s="371" customFormat="1" x14ac:dyDescent="0.3">
      <c r="B518" s="214" t="s">
        <v>667</v>
      </c>
      <c r="C518" s="215" t="s">
        <v>103</v>
      </c>
      <c r="D518" s="216" t="str">
        <f>[2]!HsSetValue(E518,"FCC","Scenario#"&amp;R518&amp;";Years#"&amp;J518&amp;";Period#"&amp;I518&amp;";View#"&amp;S518&amp;";Entity#"&amp;H518&amp;";Data Source#"&amp;K518&amp;";Account#"&amp;F518&amp;";Intercompany#"&amp;L518&amp;";Movement#"&amp;Q518&amp;";Consolidation#"&amp;T518&amp;";Custom1#"&amp;M518&amp;";Custom2#"&amp;N518&amp;";Custom3#"&amp;O518&amp;";Custom4#"&amp;P518&amp;"")</f>
        <v>#Invalid Syntax</v>
      </c>
      <c r="E518" s="216">
        <f>SUMIFS('Investment Analysis'!$H$22:$H$69,'Investment Analysis'!$E$22:$E$69,"Money Market Mutual Funds",'Investment Analysis'!$AB$22:$AB$69,"2")</f>
        <v>0</v>
      </c>
      <c r="F518" s="217" t="s">
        <v>674</v>
      </c>
      <c r="G518" s="217" t="s">
        <v>1060</v>
      </c>
      <c r="H518" s="218" t="e">
        <f t="shared" si="185"/>
        <v>#N/A</v>
      </c>
      <c r="I518" s="218" t="str">
        <f t="shared" si="185"/>
        <v>Jun</v>
      </c>
      <c r="J518" s="217" t="str">
        <f t="shared" si="185"/>
        <v>FY25</v>
      </c>
      <c r="K518" s="217" t="str">
        <f t="shared" si="185"/>
        <v>FCCS_Other Data</v>
      </c>
      <c r="L518" s="217" t="str">
        <f t="shared" si="185"/>
        <v>FCCS_No Intercompany</v>
      </c>
      <c r="M518" s="217" t="str">
        <f>+M$1</f>
        <v>No Custom1</v>
      </c>
      <c r="N518" s="217" t="str">
        <f t="shared" si="185"/>
        <v>No Custom2</v>
      </c>
      <c r="O518" s="217" t="s">
        <v>618</v>
      </c>
      <c r="P518" s="217" t="s">
        <v>573</v>
      </c>
      <c r="Q518" s="217" t="str">
        <f t="shared" si="186"/>
        <v>FCCS_ClosingBalance_Input</v>
      </c>
      <c r="R518" s="217" t="str">
        <f t="shared" si="187"/>
        <v>Actual</v>
      </c>
      <c r="S518" s="217" t="str">
        <f t="shared" si="187"/>
        <v>FCCS_YTD_Input</v>
      </c>
      <c r="T518" s="217" t="s">
        <v>850</v>
      </c>
    </row>
    <row r="519" spans="2:20" s="371" customFormat="1" x14ac:dyDescent="0.3">
      <c r="B519" s="214" t="s">
        <v>667</v>
      </c>
      <c r="C519" s="215" t="s">
        <v>103</v>
      </c>
      <c r="D519" s="216" t="str">
        <f>[2]!HsSetValue(E519,"FCC","Scenario#"&amp;R519&amp;";Years#"&amp;J519&amp;";Period#"&amp;I519&amp;";View#"&amp;S519&amp;";Entity#"&amp;H519&amp;";Data Source#"&amp;K519&amp;";Account#"&amp;F519&amp;";Intercompany#"&amp;L519&amp;";Movement#"&amp;Q519&amp;";Consolidation#"&amp;T519&amp;";Custom1#"&amp;M519&amp;";Custom2#"&amp;N519&amp;";Custom3#"&amp;O519&amp;";Custom4#"&amp;P519&amp;"")</f>
        <v>#Invalid Syntax</v>
      </c>
      <c r="E519" s="216">
        <f>SUMIFS('Investment Analysis'!$H$22:$H$69,'Investment Analysis'!$E$22:$E$69,"Money Market Mutual Funds",'Investment Analysis'!$AB$22:$AB$69,"1")</f>
        <v>0</v>
      </c>
      <c r="F519" s="217" t="s">
        <v>674</v>
      </c>
      <c r="G519" s="217" t="s">
        <v>1060</v>
      </c>
      <c r="H519" s="218" t="e">
        <f t="shared" si="185"/>
        <v>#N/A</v>
      </c>
      <c r="I519" s="218" t="str">
        <f t="shared" si="185"/>
        <v>Jun</v>
      </c>
      <c r="J519" s="217" t="str">
        <f t="shared" si="185"/>
        <v>FY25</v>
      </c>
      <c r="K519" s="217" t="str">
        <f t="shared" si="185"/>
        <v>FCCS_Other Data</v>
      </c>
      <c r="L519" s="217" t="str">
        <f t="shared" si="185"/>
        <v>FCCS_No Intercompany</v>
      </c>
      <c r="M519" s="217" t="str">
        <f>+M$1</f>
        <v>No Custom1</v>
      </c>
      <c r="N519" s="217" t="str">
        <f t="shared" si="185"/>
        <v>No Custom2</v>
      </c>
      <c r="O519" s="217" t="s">
        <v>64</v>
      </c>
      <c r="P519" s="217" t="s">
        <v>573</v>
      </c>
      <c r="Q519" s="217" t="str">
        <f t="shared" si="186"/>
        <v>FCCS_ClosingBalance_Input</v>
      </c>
      <c r="R519" s="217" t="str">
        <f t="shared" si="187"/>
        <v>Actual</v>
      </c>
      <c r="S519" s="217" t="str">
        <f t="shared" si="187"/>
        <v>FCCS_YTD_Input</v>
      </c>
      <c r="T519" s="217" t="s">
        <v>850</v>
      </c>
    </row>
    <row r="520" spans="2:20" x14ac:dyDescent="0.3">
      <c r="B520" s="214" t="s">
        <v>667</v>
      </c>
      <c r="C520" s="215" t="s">
        <v>103</v>
      </c>
      <c r="D520" s="216" t="str">
        <f>[2]!HsSetValue(E520,"FCC","Scenario#"&amp;R520&amp;";Years#"&amp;J520&amp;";Period#"&amp;I520&amp;";View#"&amp;S520&amp;";Entity#"&amp;H520&amp;";Data Source#"&amp;K520&amp;";Account#"&amp;F520&amp;";Intercompany#"&amp;L520&amp;";Movement#"&amp;Q520&amp;";Consolidation#"&amp;T520&amp;";Custom1#"&amp;M520&amp;";Custom2#"&amp;N520&amp;";Custom3#"&amp;O520&amp;";Custom4#"&amp;P520&amp;"")</f>
        <v>#Invalid Syntax</v>
      </c>
      <c r="E520" s="216">
        <f>SUMIFS('Investment Analysis'!$H$22:$H$69,'Investment Analysis'!$E$22:$E$69,"Money Market Mutual Funds",'Investment Analysis'!$AI$22:$AI$69,"16")</f>
        <v>0</v>
      </c>
      <c r="F520" s="217" t="s">
        <v>674</v>
      </c>
      <c r="G520" s="217" t="s">
        <v>1060</v>
      </c>
      <c r="H520" s="218" t="e">
        <f t="shared" si="185"/>
        <v>#N/A</v>
      </c>
      <c r="I520" s="218" t="str">
        <f t="shared" si="185"/>
        <v>Jun</v>
      </c>
      <c r="J520" s="217" t="str">
        <f t="shared" si="185"/>
        <v>FY25</v>
      </c>
      <c r="K520" s="217" t="s">
        <v>843</v>
      </c>
      <c r="L520" s="217" t="s">
        <v>844</v>
      </c>
      <c r="M520" s="217" t="s">
        <v>845</v>
      </c>
      <c r="N520" s="217" t="s">
        <v>846</v>
      </c>
      <c r="O520" s="217" t="s">
        <v>726</v>
      </c>
      <c r="P520" s="217" t="s">
        <v>573</v>
      </c>
      <c r="Q520" s="217" t="str">
        <f t="shared" si="186"/>
        <v>FCCS_ClosingBalance_Input</v>
      </c>
      <c r="R520" s="217" t="s">
        <v>169</v>
      </c>
      <c r="S520" s="217" t="s">
        <v>848</v>
      </c>
      <c r="T520" s="217" t="s">
        <v>850</v>
      </c>
    </row>
    <row r="521" spans="2:20" x14ac:dyDescent="0.3">
      <c r="B521" s="214" t="s">
        <v>667</v>
      </c>
      <c r="C521" s="215" t="s">
        <v>103</v>
      </c>
      <c r="D521" s="216" t="str">
        <f>[2]!HsSetValue(E521,"FCC","Scenario#"&amp;R521&amp;";Years#"&amp;J521&amp;";Period#"&amp;I521&amp;";View#"&amp;S521&amp;";Entity#"&amp;H521&amp;";Data Source#"&amp;K521&amp;";Account#"&amp;F521&amp;";Intercompany#"&amp;L521&amp;";Movement#"&amp;Q521&amp;";Consolidation#"&amp;T521&amp;";Custom1#"&amp;M521&amp;";Custom2#"&amp;N521&amp;";Custom3#"&amp;O521&amp;";Custom4#"&amp;P521&amp;"")</f>
        <v>#Invalid Syntax</v>
      </c>
      <c r="E521" s="216">
        <f>SUMIFS('Investment Analysis'!$H$22:$H$69,'Investment Analysis'!$E$22:$E$69,"Money Market Mutual Funds",'Investment Analysis'!$AI$22:$AI$69,"15")</f>
        <v>0</v>
      </c>
      <c r="F521" s="217" t="s">
        <v>674</v>
      </c>
      <c r="G521" s="217" t="s">
        <v>1060</v>
      </c>
      <c r="H521" s="218" t="e">
        <f t="shared" si="185"/>
        <v>#N/A</v>
      </c>
      <c r="I521" s="218" t="str">
        <f t="shared" si="185"/>
        <v>Jun</v>
      </c>
      <c r="J521" s="217" t="str">
        <f t="shared" si="185"/>
        <v>FY25</v>
      </c>
      <c r="K521" s="217" t="s">
        <v>843</v>
      </c>
      <c r="L521" s="217" t="s">
        <v>844</v>
      </c>
      <c r="M521" s="217" t="s">
        <v>845</v>
      </c>
      <c r="N521" s="217" t="s">
        <v>846</v>
      </c>
      <c r="O521" s="217" t="s">
        <v>727</v>
      </c>
      <c r="P521" s="217" t="s">
        <v>573</v>
      </c>
      <c r="Q521" s="217" t="str">
        <f t="shared" si="186"/>
        <v>FCCS_ClosingBalance_Input</v>
      </c>
      <c r="R521" s="217" t="s">
        <v>169</v>
      </c>
      <c r="S521" s="217" t="s">
        <v>848</v>
      </c>
      <c r="T521" s="217" t="s">
        <v>850</v>
      </c>
    </row>
    <row r="522" spans="2:20" x14ac:dyDescent="0.3">
      <c r="B522" s="214" t="s">
        <v>667</v>
      </c>
      <c r="C522" s="215" t="s">
        <v>103</v>
      </c>
      <c r="D522" s="216" t="str">
        <f>[2]!HsSetValue(E522,"FCC","Scenario#"&amp;R522&amp;";Years#"&amp;J522&amp;";Period#"&amp;I522&amp;";View#"&amp;S522&amp;";Entity#"&amp;H522&amp;";Data Source#"&amp;K522&amp;";Account#"&amp;F522&amp;";Intercompany#"&amp;L522&amp;";Movement#"&amp;Q522&amp;";Consolidation#"&amp;T522&amp;";Custom1#"&amp;M522&amp;";Custom2#"&amp;N522&amp;";Custom3#"&amp;O522&amp;";Custom4#"&amp;P522&amp;"")</f>
        <v>#Invalid Syntax</v>
      </c>
      <c r="E522" s="216">
        <f>SUMIFS('Investment Analysis'!$H$22:$H$69,'Investment Analysis'!$E$22:$E$69,"Money Market Mutual Funds",'Investment Analysis'!$AI$22:$AI$69,"14")</f>
        <v>0</v>
      </c>
      <c r="F522" s="217" t="s">
        <v>674</v>
      </c>
      <c r="G522" s="217" t="s">
        <v>1060</v>
      </c>
      <c r="H522" s="218" t="e">
        <f t="shared" si="185"/>
        <v>#N/A</v>
      </c>
      <c r="I522" s="218" t="str">
        <f t="shared" si="185"/>
        <v>Jun</v>
      </c>
      <c r="J522" s="217" t="str">
        <f t="shared" si="185"/>
        <v>FY25</v>
      </c>
      <c r="K522" s="217" t="s">
        <v>843</v>
      </c>
      <c r="L522" s="217" t="s">
        <v>844</v>
      </c>
      <c r="M522" s="217" t="s">
        <v>845</v>
      </c>
      <c r="N522" s="217" t="s">
        <v>846</v>
      </c>
      <c r="O522" s="217" t="s">
        <v>728</v>
      </c>
      <c r="P522" s="217" t="s">
        <v>573</v>
      </c>
      <c r="Q522" s="217" t="str">
        <f t="shared" si="186"/>
        <v>FCCS_ClosingBalance_Input</v>
      </c>
      <c r="R522" s="217" t="s">
        <v>169</v>
      </c>
      <c r="S522" s="217" t="s">
        <v>848</v>
      </c>
      <c r="T522" s="217" t="s">
        <v>850</v>
      </c>
    </row>
    <row r="523" spans="2:20" x14ac:dyDescent="0.3">
      <c r="B523" s="214" t="s">
        <v>667</v>
      </c>
      <c r="C523" s="215" t="s">
        <v>103</v>
      </c>
      <c r="D523" s="216" t="str">
        <f>[2]!HsSetValue(E523,"FCC","Scenario#"&amp;R523&amp;";Years#"&amp;J523&amp;";Period#"&amp;I523&amp;";View#"&amp;S523&amp;";Entity#"&amp;H523&amp;";Data Source#"&amp;K523&amp;";Account#"&amp;F523&amp;";Intercompany#"&amp;L523&amp;";Movement#"&amp;Q523&amp;";Consolidation#"&amp;T523&amp;";Custom1#"&amp;M523&amp;";Custom2#"&amp;N523&amp;";Custom3#"&amp;O523&amp;";Custom4#"&amp;P523&amp;"")</f>
        <v>#Invalid Syntax</v>
      </c>
      <c r="E523" s="216">
        <f>SUMIFS('Investment Analysis'!$H$22:$H$69,'Investment Analysis'!$E$22:$E$69,"Money Market Mutual Funds",'Investment Analysis'!$AB$22:$AB$69,"0")+SUMIFS('Investment Analysis'!$H$22:$H$69,'Investment Analysis'!$E$22:$E$69,"Money Market Mutual Funds",'Investment Analysis'!$AI$22:$AI$69,"0")</f>
        <v>0</v>
      </c>
      <c r="F523" s="217" t="s">
        <v>674</v>
      </c>
      <c r="G523" s="217" t="s">
        <v>1060</v>
      </c>
      <c r="H523" s="218" t="e">
        <f t="shared" si="185"/>
        <v>#N/A</v>
      </c>
      <c r="I523" s="218" t="str">
        <f t="shared" si="185"/>
        <v>Jun</v>
      </c>
      <c r="J523" s="217" t="str">
        <f t="shared" si="185"/>
        <v>FY25</v>
      </c>
      <c r="K523" s="217" t="s">
        <v>843</v>
      </c>
      <c r="L523" s="217" t="s">
        <v>844</v>
      </c>
      <c r="M523" s="217" t="s">
        <v>845</v>
      </c>
      <c r="N523" s="217" t="s">
        <v>846</v>
      </c>
      <c r="O523" s="217" t="s">
        <v>609</v>
      </c>
      <c r="P523" s="217" t="s">
        <v>573</v>
      </c>
      <c r="Q523" s="217" t="str">
        <f t="shared" si="186"/>
        <v>FCCS_ClosingBalance_Input</v>
      </c>
      <c r="R523" s="217" t="s">
        <v>169</v>
      </c>
      <c r="S523" s="217" t="s">
        <v>848</v>
      </c>
      <c r="T523" s="217" t="s">
        <v>850</v>
      </c>
    </row>
    <row r="524" spans="2:20" x14ac:dyDescent="0.3">
      <c r="B524" s="210"/>
      <c r="C524" s="211"/>
      <c r="D524" s="212"/>
      <c r="E524" s="212"/>
    </row>
    <row r="525" spans="2:20" x14ac:dyDescent="0.3">
      <c r="B525" s="219" t="s">
        <v>1014</v>
      </c>
      <c r="C525" s="220" t="s">
        <v>103</v>
      </c>
      <c r="D525" s="221" t="str">
        <f>[2]!HsSetValue(E525,"FCC","Scenario#"&amp;R525&amp;";Years#"&amp;J525&amp;";Period#"&amp;I525&amp;";View#"&amp;S525&amp;";Entity#"&amp;H525&amp;";Data Source#"&amp;K525&amp;";Account#"&amp;F525&amp;";Intercompany#"&amp;L525&amp;";Movement#"&amp;Q525&amp;";Consolidation#"&amp;T525&amp;";Custom1#"&amp;M525&amp;";Custom2#"&amp;N525&amp;";Custom3#"&amp;O525&amp;";Custom4#"&amp;P525&amp;"")</f>
        <v>#Invalid Syntax</v>
      </c>
      <c r="E525" s="221">
        <f>SUMIFS('Investment Analysis'!$H$22:$H$69,'Investment Analysis'!$E$22:$E$69,"Money Market Mutual Funds",'Investment Analysis'!$AK$22:$AK$69,"21")</f>
        <v>0</v>
      </c>
      <c r="F525" s="222" t="s">
        <v>675</v>
      </c>
      <c r="G525" s="222" t="s">
        <v>1031</v>
      </c>
      <c r="H525" s="223" t="e">
        <f>+H$2</f>
        <v>#N/A</v>
      </c>
      <c r="I525" s="223" t="str">
        <f t="shared" ref="I525:J540" si="188">+I$2</f>
        <v>Jun</v>
      </c>
      <c r="J525" s="222" t="str">
        <f t="shared" si="188"/>
        <v>FY25</v>
      </c>
      <c r="K525" s="222" t="s">
        <v>843</v>
      </c>
      <c r="L525" s="222" t="s">
        <v>844</v>
      </c>
      <c r="M525" s="222" t="s">
        <v>845</v>
      </c>
      <c r="N525" s="222" t="s">
        <v>846</v>
      </c>
      <c r="O525" s="222" t="s">
        <v>729</v>
      </c>
      <c r="P525" s="222" t="s">
        <v>573</v>
      </c>
      <c r="Q525" s="222" t="str">
        <f t="shared" ref="Q525:Q529" si="189">Q$2</f>
        <v>FCCS_ClosingBalance_Input</v>
      </c>
      <c r="R525" s="222" t="s">
        <v>169</v>
      </c>
      <c r="S525" s="222" t="s">
        <v>848</v>
      </c>
      <c r="T525" s="222" t="s">
        <v>850</v>
      </c>
    </row>
    <row r="526" spans="2:20" x14ac:dyDescent="0.3">
      <c r="B526" s="219" t="s">
        <v>1014</v>
      </c>
      <c r="C526" s="220" t="s">
        <v>103</v>
      </c>
      <c r="D526" s="221" t="str">
        <f>[2]!HsSetValue(E526,"FCC","Scenario#"&amp;R526&amp;";Years#"&amp;J526&amp;";Period#"&amp;I526&amp;";View#"&amp;S526&amp;";Entity#"&amp;H526&amp;";Data Source#"&amp;K526&amp;";Account#"&amp;F526&amp;";Intercompany#"&amp;L526&amp;";Movement#"&amp;Q526&amp;";Consolidation#"&amp;T526&amp;";Custom1#"&amp;M526&amp;";Custom2#"&amp;N526&amp;";Custom3#"&amp;O526&amp;";Custom4#"&amp;P526&amp;"")</f>
        <v>#Invalid Syntax</v>
      </c>
      <c r="E526" s="221">
        <f>SUMIFS('Investment Analysis'!$H$22:$H$69,'Investment Analysis'!$E$22:$E$69,"Money Market Mutual Funds",'Investment Analysis'!$AK$22:$AK$69,"22")</f>
        <v>0</v>
      </c>
      <c r="F526" s="222" t="s">
        <v>675</v>
      </c>
      <c r="G526" s="222" t="s">
        <v>1031</v>
      </c>
      <c r="H526" s="223" t="e">
        <f>+H$2</f>
        <v>#N/A</v>
      </c>
      <c r="I526" s="223" t="str">
        <f t="shared" si="188"/>
        <v>Jun</v>
      </c>
      <c r="J526" s="222" t="str">
        <f t="shared" si="188"/>
        <v>FY25</v>
      </c>
      <c r="K526" s="222" t="s">
        <v>843</v>
      </c>
      <c r="L526" s="222" t="s">
        <v>844</v>
      </c>
      <c r="M526" s="222" t="s">
        <v>845</v>
      </c>
      <c r="N526" s="222" t="s">
        <v>846</v>
      </c>
      <c r="O526" s="222" t="s">
        <v>730</v>
      </c>
      <c r="P526" s="222" t="s">
        <v>573</v>
      </c>
      <c r="Q526" s="222" t="str">
        <f t="shared" si="189"/>
        <v>FCCS_ClosingBalance_Input</v>
      </c>
      <c r="R526" s="222" t="s">
        <v>169</v>
      </c>
      <c r="S526" s="222" t="s">
        <v>848</v>
      </c>
      <c r="T526" s="222" t="s">
        <v>850</v>
      </c>
    </row>
    <row r="527" spans="2:20" x14ac:dyDescent="0.3">
      <c r="B527" s="219" t="s">
        <v>1014</v>
      </c>
      <c r="C527" s="220" t="s">
        <v>103</v>
      </c>
      <c r="D527" s="221" t="str">
        <f>[2]!HsSetValue(E527,"FCC","Scenario#"&amp;R527&amp;";Years#"&amp;J527&amp;";Period#"&amp;I527&amp;";View#"&amp;S527&amp;";Entity#"&amp;H527&amp;";Data Source#"&amp;K527&amp;";Account#"&amp;F527&amp;";Intercompany#"&amp;L527&amp;";Movement#"&amp;Q527&amp;";Consolidation#"&amp;T527&amp;";Custom1#"&amp;M527&amp;";Custom2#"&amp;N527&amp;";Custom3#"&amp;O527&amp;";Custom4#"&amp;P527&amp;"")</f>
        <v>#Invalid Syntax</v>
      </c>
      <c r="E527" s="221">
        <f>SUMIFS('Investment Analysis'!$H$22:$H$69,'Investment Analysis'!$E$22:$E$69,"Money Market Mutual Funds",'Investment Analysis'!$AK$22:$AK$69,"23")</f>
        <v>0</v>
      </c>
      <c r="F527" s="222" t="s">
        <v>675</v>
      </c>
      <c r="G527" s="222" t="s">
        <v>1031</v>
      </c>
      <c r="H527" s="223" t="e">
        <f>+H$2</f>
        <v>#N/A</v>
      </c>
      <c r="I527" s="223" t="str">
        <f t="shared" si="188"/>
        <v>Jun</v>
      </c>
      <c r="J527" s="222" t="str">
        <f t="shared" si="188"/>
        <v>FY25</v>
      </c>
      <c r="K527" s="222" t="s">
        <v>843</v>
      </c>
      <c r="L527" s="222" t="s">
        <v>844</v>
      </c>
      <c r="M527" s="222" t="s">
        <v>845</v>
      </c>
      <c r="N527" s="222" t="s">
        <v>846</v>
      </c>
      <c r="O527" s="222" t="s">
        <v>731</v>
      </c>
      <c r="P527" s="222" t="s">
        <v>573</v>
      </c>
      <c r="Q527" s="222" t="str">
        <f t="shared" si="189"/>
        <v>FCCS_ClosingBalance_Input</v>
      </c>
      <c r="R527" s="222" t="s">
        <v>169</v>
      </c>
      <c r="S527" s="222" t="s">
        <v>848</v>
      </c>
      <c r="T527" s="222" t="s">
        <v>850</v>
      </c>
    </row>
    <row r="528" spans="2:20" x14ac:dyDescent="0.3">
      <c r="B528" s="219" t="s">
        <v>1014</v>
      </c>
      <c r="C528" s="220" t="s">
        <v>103</v>
      </c>
      <c r="D528" s="221" t="str">
        <f>[2]!HsSetValue(E528,"FCC","Scenario#"&amp;R528&amp;";Years#"&amp;J528&amp;";Period#"&amp;I528&amp;";View#"&amp;S528&amp;";Entity#"&amp;H528&amp;";Data Source#"&amp;K528&amp;";Account#"&amp;F528&amp;";Intercompany#"&amp;L528&amp;";Movement#"&amp;Q528&amp;";Consolidation#"&amp;T528&amp;";Custom1#"&amp;M528&amp;";Custom2#"&amp;N528&amp;";Custom3#"&amp;O528&amp;";Custom4#"&amp;P528&amp;"")</f>
        <v>#Invalid Syntax</v>
      </c>
      <c r="E528" s="221">
        <f>SUMIFS('Investment Analysis'!$H$22:$H$69,'Investment Analysis'!$E$22:$E$69,"Money Market Mutual Funds",'Investment Analysis'!$AK$22:$AK$69,"24")</f>
        <v>0</v>
      </c>
      <c r="F528" s="222" t="s">
        <v>675</v>
      </c>
      <c r="G528" s="222" t="s">
        <v>1031</v>
      </c>
      <c r="H528" s="223" t="e">
        <f>+H$2</f>
        <v>#N/A</v>
      </c>
      <c r="I528" s="223" t="str">
        <f t="shared" si="188"/>
        <v>Jun</v>
      </c>
      <c r="J528" s="222" t="str">
        <f t="shared" si="188"/>
        <v>FY25</v>
      </c>
      <c r="K528" s="222" t="s">
        <v>843</v>
      </c>
      <c r="L528" s="222" t="s">
        <v>844</v>
      </c>
      <c r="M528" s="222" t="s">
        <v>845</v>
      </c>
      <c r="N528" s="222" t="s">
        <v>846</v>
      </c>
      <c r="O528" s="222" t="s">
        <v>732</v>
      </c>
      <c r="P528" s="222" t="s">
        <v>573</v>
      </c>
      <c r="Q528" s="222" t="str">
        <f t="shared" si="189"/>
        <v>FCCS_ClosingBalance_Input</v>
      </c>
      <c r="R528" s="222" t="s">
        <v>169</v>
      </c>
      <c r="S528" s="222" t="s">
        <v>848</v>
      </c>
      <c r="T528" s="222" t="s">
        <v>850</v>
      </c>
    </row>
    <row r="529" spans="2:20" x14ac:dyDescent="0.3">
      <c r="B529" s="219" t="s">
        <v>1014</v>
      </c>
      <c r="C529" s="220" t="s">
        <v>103</v>
      </c>
      <c r="D529" s="221" t="str">
        <f>[2]!HsSetValue(E529,"FCC","Scenario#"&amp;R529&amp;";Years#"&amp;J529&amp;";Period#"&amp;I529&amp;";View#"&amp;S529&amp;";Entity#"&amp;H529&amp;";Data Source#"&amp;K529&amp;";Account#"&amp;F529&amp;";Intercompany#"&amp;L529&amp;";Movement#"&amp;Q529&amp;";Consolidation#"&amp;T529&amp;";Custom1#"&amp;M529&amp;";Custom2#"&amp;N529&amp;";Custom3#"&amp;O529&amp;";Custom4#"&amp;P529&amp;"")</f>
        <v>#Invalid Syntax</v>
      </c>
      <c r="E529" s="221">
        <f>SUMIFS('Investment Analysis'!$H$22:$H$69,'Investment Analysis'!$E$22:$E$69,"Money Market Mutual Funds",'Investment Analysis'!$AK$22:$AK$69,"25")</f>
        <v>0</v>
      </c>
      <c r="F529" s="222" t="s">
        <v>675</v>
      </c>
      <c r="G529" s="222" t="s">
        <v>1031</v>
      </c>
      <c r="H529" s="223" t="e">
        <f>+H$2</f>
        <v>#N/A</v>
      </c>
      <c r="I529" s="223" t="str">
        <f t="shared" si="188"/>
        <v>Jun</v>
      </c>
      <c r="J529" s="222" t="str">
        <f t="shared" si="188"/>
        <v>FY25</v>
      </c>
      <c r="K529" s="222" t="s">
        <v>843</v>
      </c>
      <c r="L529" s="222" t="s">
        <v>844</v>
      </c>
      <c r="M529" s="222" t="s">
        <v>845</v>
      </c>
      <c r="N529" s="222" t="s">
        <v>846</v>
      </c>
      <c r="O529" s="222" t="s">
        <v>733</v>
      </c>
      <c r="P529" s="222" t="s">
        <v>573</v>
      </c>
      <c r="Q529" s="222" t="str">
        <f t="shared" si="189"/>
        <v>FCCS_ClosingBalance_Input</v>
      </c>
      <c r="R529" s="222" t="s">
        <v>169</v>
      </c>
      <c r="S529" s="222" t="s">
        <v>848</v>
      </c>
      <c r="T529" s="222" t="s">
        <v>850</v>
      </c>
    </row>
    <row r="530" spans="2:20" outlineLevel="1" x14ac:dyDescent="0.3"/>
    <row r="531" spans="2:20" x14ac:dyDescent="0.3">
      <c r="B531" s="364" t="s">
        <v>668</v>
      </c>
      <c r="C531" s="365" t="s">
        <v>408</v>
      </c>
      <c r="D531" s="366" t="str">
        <f>[2]!HsSetValue(E531,"FCC","Scenario#"&amp;R531&amp;";Years#"&amp;J531&amp;";Period#"&amp;I531&amp;";View#"&amp;S531&amp;";Entity#"&amp;H531&amp;";Data Source#"&amp;K531&amp;";Account#"&amp;F531&amp;";Intercompany#"&amp;L531&amp;";Movement#"&amp;Q531&amp;";Consolidation#"&amp;T531&amp;";Custom1#"&amp;M531&amp;";Custom2#"&amp;N531&amp;";Custom3#"&amp;O531&amp;";Custom4#"&amp;P531&amp;"")</f>
        <v>#Invalid Syntax</v>
      </c>
      <c r="E531" s="366">
        <f>SUMIF('Investment Analysis'!$E$22:$E$69,'FCC Investments - Load Tab'!C531,'Investment Analysis'!$K$22:$K$69)</f>
        <v>0</v>
      </c>
      <c r="F531" s="367" t="s">
        <v>673</v>
      </c>
      <c r="G531" s="367" t="s">
        <v>693</v>
      </c>
      <c r="H531" s="368" t="e">
        <f>+H$2</f>
        <v>#N/A</v>
      </c>
      <c r="I531" s="368" t="str">
        <f t="shared" ref="I531:I535" si="190">+I$2</f>
        <v>Jun</v>
      </c>
      <c r="J531" s="367" t="str">
        <f t="shared" si="188"/>
        <v>FY25</v>
      </c>
      <c r="K531" s="367" t="s">
        <v>843</v>
      </c>
      <c r="L531" s="367" t="s">
        <v>844</v>
      </c>
      <c r="M531" s="367" t="s">
        <v>845</v>
      </c>
      <c r="N531" s="367" t="s">
        <v>846</v>
      </c>
      <c r="O531" s="367" t="s">
        <v>721</v>
      </c>
      <c r="P531" s="367" t="s">
        <v>574</v>
      </c>
      <c r="Q531" s="367" t="str">
        <f t="shared" ref="Q531:Q535" si="191">Q$2</f>
        <v>FCCS_ClosingBalance_Input</v>
      </c>
      <c r="R531" s="367" t="s">
        <v>169</v>
      </c>
      <c r="S531" s="367" t="s">
        <v>848</v>
      </c>
      <c r="T531" s="367" t="s">
        <v>850</v>
      </c>
    </row>
    <row r="532" spans="2:20" x14ac:dyDescent="0.3">
      <c r="B532" s="364" t="s">
        <v>668</v>
      </c>
      <c r="C532" s="365" t="s">
        <v>408</v>
      </c>
      <c r="D532" s="366" t="str">
        <f>[2]!HsSetValue(E532,"FCC","Scenario#"&amp;R532&amp;";Years#"&amp;J532&amp;";Period#"&amp;I532&amp;";View#"&amp;S532&amp;";Entity#"&amp;H532&amp;";Data Source#"&amp;K532&amp;";Account#"&amp;F532&amp;";Intercompany#"&amp;L532&amp;";Movement#"&amp;Q532&amp;";Consolidation#"&amp;T532&amp;";Custom1#"&amp;M532&amp;";Custom2#"&amp;N532&amp;";Custom3#"&amp;O532&amp;";Custom4#"&amp;P532&amp;"")</f>
        <v>#Invalid Syntax</v>
      </c>
      <c r="E532" s="366">
        <f>SUMIF('Investment Analysis'!$E$22:$E$69,'FCC Investments - Load Tab'!C531,'Investment Analysis'!$L$22:$L$69)</f>
        <v>0</v>
      </c>
      <c r="F532" s="367" t="s">
        <v>673</v>
      </c>
      <c r="G532" s="367" t="s">
        <v>693</v>
      </c>
      <c r="H532" s="368" t="e">
        <f>+H$2</f>
        <v>#N/A</v>
      </c>
      <c r="I532" s="368" t="str">
        <f t="shared" si="190"/>
        <v>Jun</v>
      </c>
      <c r="J532" s="367" t="str">
        <f t="shared" si="188"/>
        <v>FY25</v>
      </c>
      <c r="K532" s="367" t="s">
        <v>843</v>
      </c>
      <c r="L532" s="367" t="s">
        <v>844</v>
      </c>
      <c r="M532" s="367" t="s">
        <v>845</v>
      </c>
      <c r="N532" s="367" t="s">
        <v>846</v>
      </c>
      <c r="O532" s="367" t="s">
        <v>722</v>
      </c>
      <c r="P532" s="367" t="s">
        <v>574</v>
      </c>
      <c r="Q532" s="367" t="str">
        <f t="shared" si="191"/>
        <v>FCCS_ClosingBalance_Input</v>
      </c>
      <c r="R532" s="367" t="s">
        <v>169</v>
      </c>
      <c r="S532" s="367" t="s">
        <v>848</v>
      </c>
      <c r="T532" s="367" t="s">
        <v>850</v>
      </c>
    </row>
    <row r="533" spans="2:20" x14ac:dyDescent="0.3">
      <c r="B533" s="364" t="s">
        <v>668</v>
      </c>
      <c r="C533" s="365" t="s">
        <v>408</v>
      </c>
      <c r="D533" s="366" t="str">
        <f>[2]!HsSetValue(E533,"FCC","Scenario#"&amp;R533&amp;";Years#"&amp;J533&amp;";Period#"&amp;I533&amp;";View#"&amp;S533&amp;";Entity#"&amp;H533&amp;";Data Source#"&amp;K533&amp;";Account#"&amp;F533&amp;";Intercompany#"&amp;L533&amp;";Movement#"&amp;Q533&amp;";Consolidation#"&amp;T533&amp;";Custom1#"&amp;M533&amp;";Custom2#"&amp;N533&amp;";Custom3#"&amp;O533&amp;";Custom4#"&amp;P533&amp;"")</f>
        <v>#Invalid Syntax</v>
      </c>
      <c r="E533" s="366">
        <f>SUMIF('Investment Analysis'!$E$22:$E$69,'FCC Investments - Load Tab'!C531,'Investment Analysis'!$M$22:$M$69)</f>
        <v>0</v>
      </c>
      <c r="F533" s="367" t="s">
        <v>673</v>
      </c>
      <c r="G533" s="367" t="s">
        <v>693</v>
      </c>
      <c r="H533" s="368" t="e">
        <f>+H$2</f>
        <v>#N/A</v>
      </c>
      <c r="I533" s="368" t="str">
        <f t="shared" si="190"/>
        <v>Jun</v>
      </c>
      <c r="J533" s="367" t="str">
        <f t="shared" si="188"/>
        <v>FY25</v>
      </c>
      <c r="K533" s="367" t="s">
        <v>843</v>
      </c>
      <c r="L533" s="367" t="s">
        <v>844</v>
      </c>
      <c r="M533" s="367" t="s">
        <v>845</v>
      </c>
      <c r="N533" s="367" t="s">
        <v>846</v>
      </c>
      <c r="O533" s="367" t="s">
        <v>723</v>
      </c>
      <c r="P533" s="367" t="s">
        <v>574</v>
      </c>
      <c r="Q533" s="367" t="str">
        <f t="shared" si="191"/>
        <v>FCCS_ClosingBalance_Input</v>
      </c>
      <c r="R533" s="367" t="s">
        <v>169</v>
      </c>
      <c r="S533" s="367" t="s">
        <v>848</v>
      </c>
      <c r="T533" s="367" t="s">
        <v>850</v>
      </c>
    </row>
    <row r="534" spans="2:20" x14ac:dyDescent="0.3">
      <c r="B534" s="364" t="s">
        <v>668</v>
      </c>
      <c r="C534" s="365" t="s">
        <v>408</v>
      </c>
      <c r="D534" s="366" t="str">
        <f>[2]!HsSetValue(E534,"FCC","Scenario#"&amp;R534&amp;";Years#"&amp;J534&amp;";Period#"&amp;I534&amp;";View#"&amp;S534&amp;";Entity#"&amp;H534&amp;";Data Source#"&amp;K534&amp;";Account#"&amp;F534&amp;";Intercompany#"&amp;L534&amp;";Movement#"&amp;Q534&amp;";Consolidation#"&amp;T534&amp;";Custom1#"&amp;M534&amp;";Custom2#"&amp;N534&amp;";Custom3#"&amp;O534&amp;";Custom4#"&amp;P534&amp;"")</f>
        <v>#Invalid Syntax</v>
      </c>
      <c r="E534" s="366">
        <f>SUMIF('Investment Analysis'!$E$22:$E$69,'FCC Investments - Load Tab'!C534,'Investment Analysis'!$N$22:$N$69)</f>
        <v>0</v>
      </c>
      <c r="F534" s="367" t="s">
        <v>673</v>
      </c>
      <c r="G534" s="367" t="s">
        <v>693</v>
      </c>
      <c r="H534" s="368" t="e">
        <f>+H$2</f>
        <v>#N/A</v>
      </c>
      <c r="I534" s="368" t="str">
        <f t="shared" si="190"/>
        <v>Jun</v>
      </c>
      <c r="J534" s="367" t="str">
        <f t="shared" si="188"/>
        <v>FY25</v>
      </c>
      <c r="K534" s="367" t="s">
        <v>843</v>
      </c>
      <c r="L534" s="367" t="s">
        <v>844</v>
      </c>
      <c r="M534" s="367" t="s">
        <v>845</v>
      </c>
      <c r="N534" s="367" t="s">
        <v>846</v>
      </c>
      <c r="O534" s="367" t="s">
        <v>724</v>
      </c>
      <c r="P534" s="367" t="s">
        <v>574</v>
      </c>
      <c r="Q534" s="367" t="str">
        <f t="shared" si="191"/>
        <v>FCCS_ClosingBalance_Input</v>
      </c>
      <c r="R534" s="367" t="s">
        <v>169</v>
      </c>
      <c r="S534" s="367" t="s">
        <v>848</v>
      </c>
      <c r="T534" s="367" t="s">
        <v>850</v>
      </c>
    </row>
    <row r="535" spans="2:20" x14ac:dyDescent="0.3">
      <c r="B535" s="364" t="s">
        <v>668</v>
      </c>
      <c r="C535" s="365" t="s">
        <v>408</v>
      </c>
      <c r="D535" s="366" t="str">
        <f>[2]!HsSetValue(E535,"FCC","Scenario#"&amp;R535&amp;";Years#"&amp;J535&amp;";Period#"&amp;I535&amp;";View#"&amp;S535&amp;";Entity#"&amp;H535&amp;";Data Source#"&amp;K535&amp;";Account#"&amp;F535&amp;";Intercompany#"&amp;L535&amp;";Movement#"&amp;Q535&amp;";Consolidation#"&amp;T535&amp;";Custom1#"&amp;M535&amp;";Custom2#"&amp;N535&amp;";Custom3#"&amp;O535&amp;";Custom4#"&amp;P535&amp;"")</f>
        <v>#Invalid Syntax</v>
      </c>
      <c r="E535" s="366">
        <f>SUMIF('Investment Analysis'!$E$2:$E$69,'FCC Investments - Load Tab'!C535,'Investment Analysis'!$O$2:$O$69)</f>
        <v>0</v>
      </c>
      <c r="F535" s="367" t="s">
        <v>673</v>
      </c>
      <c r="G535" s="367" t="s">
        <v>693</v>
      </c>
      <c r="H535" s="368" t="e">
        <f>+H$2</f>
        <v>#N/A</v>
      </c>
      <c r="I535" s="368" t="str">
        <f t="shared" si="190"/>
        <v>Jun</v>
      </c>
      <c r="J535" s="367" t="str">
        <f t="shared" si="188"/>
        <v>FY25</v>
      </c>
      <c r="K535" s="367" t="s">
        <v>843</v>
      </c>
      <c r="L535" s="367" t="s">
        <v>844</v>
      </c>
      <c r="M535" s="367" t="s">
        <v>845</v>
      </c>
      <c r="N535" s="367" t="s">
        <v>846</v>
      </c>
      <c r="O535" s="367" t="s">
        <v>725</v>
      </c>
      <c r="P535" s="367" t="s">
        <v>574</v>
      </c>
      <c r="Q535" s="367" t="str">
        <f t="shared" si="191"/>
        <v>FCCS_ClosingBalance_Input</v>
      </c>
      <c r="R535" s="367" t="s">
        <v>169</v>
      </c>
      <c r="S535" s="367" t="s">
        <v>848</v>
      </c>
      <c r="T535" s="367" t="s">
        <v>850</v>
      </c>
    </row>
    <row r="536" spans="2:20" x14ac:dyDescent="0.3">
      <c r="B536" s="210"/>
      <c r="C536" s="211"/>
      <c r="D536" s="212"/>
      <c r="E536" s="212"/>
    </row>
    <row r="537" spans="2:20" x14ac:dyDescent="0.3">
      <c r="B537" s="214" t="s">
        <v>667</v>
      </c>
      <c r="C537" s="215" t="s">
        <v>408</v>
      </c>
      <c r="D537" s="216" t="str">
        <f>[2]!HsSetValue(E537,"FCC","Scenario#"&amp;R537&amp;";Years#"&amp;J537&amp;";Period#"&amp;I537&amp;";View#"&amp;S537&amp;";Entity#"&amp;H537&amp;";Data Source#"&amp;K537&amp;";Account#"&amp;F537&amp;";Intercompany#"&amp;L537&amp;";Movement#"&amp;Q537&amp;";Consolidation#"&amp;T537&amp;";Custom1#"&amp;M537&amp;";Custom2#"&amp;N537&amp;";Custom3#"&amp;O537&amp;";Custom4#"&amp;P537&amp;"")</f>
        <v>#Invalid Syntax</v>
      </c>
      <c r="E537" s="216">
        <f>SUMIFS('Investment Analysis'!$H$22:$H$69,'Investment Analysis'!$E$22:$E$69,"Mortgage Backed Securities",'Investment Analysis'!$AB$22:$AB$69,"10")</f>
        <v>0</v>
      </c>
      <c r="F537" s="217" t="s">
        <v>674</v>
      </c>
      <c r="G537" s="217" t="s">
        <v>1061</v>
      </c>
      <c r="H537" s="218" t="e">
        <f t="shared" ref="H537:N552" si="192">+H$2</f>
        <v>#N/A</v>
      </c>
      <c r="I537" s="218" t="str">
        <f t="shared" si="192"/>
        <v>Jun</v>
      </c>
      <c r="J537" s="217" t="str">
        <f t="shared" si="188"/>
        <v>FY25</v>
      </c>
      <c r="K537" s="217" t="s">
        <v>843</v>
      </c>
      <c r="L537" s="217" t="s">
        <v>844</v>
      </c>
      <c r="M537" s="217" t="s">
        <v>845</v>
      </c>
      <c r="N537" s="217" t="s">
        <v>846</v>
      </c>
      <c r="O537" s="217" t="s">
        <v>433</v>
      </c>
      <c r="P537" s="217" t="s">
        <v>574</v>
      </c>
      <c r="Q537" s="217" t="str">
        <f t="shared" ref="Q537:Q550" si="193">Q$2</f>
        <v>FCCS_ClosingBalance_Input</v>
      </c>
      <c r="R537" s="217" t="s">
        <v>169</v>
      </c>
      <c r="S537" s="217" t="s">
        <v>848</v>
      </c>
      <c r="T537" s="217" t="s">
        <v>850</v>
      </c>
    </row>
    <row r="538" spans="2:20" x14ac:dyDescent="0.3">
      <c r="B538" s="214" t="s">
        <v>667</v>
      </c>
      <c r="C538" s="215" t="s">
        <v>408</v>
      </c>
      <c r="D538" s="216" t="str">
        <f>[2]!HsSetValue(E538,"FCC","Scenario#"&amp;R538&amp;";Years#"&amp;J538&amp;";Period#"&amp;I538&amp;";View#"&amp;S538&amp;";Entity#"&amp;H538&amp;";Data Source#"&amp;K538&amp;";Account#"&amp;F538&amp;";Intercompany#"&amp;L538&amp;";Movement#"&amp;Q538&amp;";Consolidation#"&amp;T538&amp;";Custom1#"&amp;M538&amp;";Custom2#"&amp;N538&amp;";Custom3#"&amp;O538&amp;";Custom4#"&amp;P538&amp;"")</f>
        <v>#Invalid Syntax</v>
      </c>
      <c r="E538" s="216">
        <f>SUMIFS('Investment Analysis'!$H$22:$H$69,'Investment Analysis'!$E$22:$E$69,"Mortgage Backed Securities",'Investment Analysis'!$AB$22:$AB$69,"9")</f>
        <v>0</v>
      </c>
      <c r="F538" s="217" t="s">
        <v>674</v>
      </c>
      <c r="G538" s="217" t="s">
        <v>1061</v>
      </c>
      <c r="H538" s="218" t="e">
        <f t="shared" si="192"/>
        <v>#N/A</v>
      </c>
      <c r="I538" s="218" t="str">
        <f t="shared" si="192"/>
        <v>Jun</v>
      </c>
      <c r="J538" s="217" t="str">
        <f t="shared" si="188"/>
        <v>FY25</v>
      </c>
      <c r="K538" s="217" t="s">
        <v>843</v>
      </c>
      <c r="L538" s="217" t="s">
        <v>844</v>
      </c>
      <c r="M538" s="217" t="s">
        <v>845</v>
      </c>
      <c r="N538" s="217" t="s">
        <v>846</v>
      </c>
      <c r="O538" s="217" t="s">
        <v>596</v>
      </c>
      <c r="P538" s="217" t="s">
        <v>574</v>
      </c>
      <c r="Q538" s="217" t="str">
        <f t="shared" si="193"/>
        <v>FCCS_ClosingBalance_Input</v>
      </c>
      <c r="R538" s="217" t="s">
        <v>169</v>
      </c>
      <c r="S538" s="217" t="s">
        <v>848</v>
      </c>
      <c r="T538" s="217" t="s">
        <v>850</v>
      </c>
    </row>
    <row r="539" spans="2:20" x14ac:dyDescent="0.3">
      <c r="B539" s="214" t="s">
        <v>667</v>
      </c>
      <c r="C539" s="215" t="s">
        <v>408</v>
      </c>
      <c r="D539" s="216" t="str">
        <f>[2]!HsSetValue(E539,"FCC","Scenario#"&amp;R539&amp;";Years#"&amp;J539&amp;";Period#"&amp;I539&amp;";View#"&amp;S539&amp;";Entity#"&amp;H539&amp;";Data Source#"&amp;K539&amp;";Account#"&amp;F539&amp;";Intercompany#"&amp;L539&amp;";Movement#"&amp;Q539&amp;";Consolidation#"&amp;T539&amp;";Custom1#"&amp;M539&amp;";Custom2#"&amp;N539&amp;";Custom3#"&amp;O539&amp;";Custom4#"&amp;P539&amp;"")</f>
        <v>#Invalid Syntax</v>
      </c>
      <c r="E539" s="216">
        <f>SUMIFS('Investment Analysis'!$H$22:$H$69,'Investment Analysis'!$E$22:$E$69,"Mortgage Backed Securities",'Investment Analysis'!$AB$22:$AB$69,"8")</f>
        <v>0</v>
      </c>
      <c r="F539" s="217" t="s">
        <v>674</v>
      </c>
      <c r="G539" s="217" t="s">
        <v>1061</v>
      </c>
      <c r="H539" s="218" t="e">
        <f t="shared" si="192"/>
        <v>#N/A</v>
      </c>
      <c r="I539" s="218" t="str">
        <f t="shared" si="192"/>
        <v>Jun</v>
      </c>
      <c r="J539" s="217" t="str">
        <f t="shared" si="188"/>
        <v>FY25</v>
      </c>
      <c r="K539" s="217" t="s">
        <v>843</v>
      </c>
      <c r="L539" s="217" t="s">
        <v>844</v>
      </c>
      <c r="M539" s="217" t="s">
        <v>845</v>
      </c>
      <c r="N539" s="217" t="s">
        <v>846</v>
      </c>
      <c r="O539" s="217" t="s">
        <v>61</v>
      </c>
      <c r="P539" s="217" t="s">
        <v>574</v>
      </c>
      <c r="Q539" s="217" t="str">
        <f t="shared" si="193"/>
        <v>FCCS_ClosingBalance_Input</v>
      </c>
      <c r="R539" s="217" t="s">
        <v>169</v>
      </c>
      <c r="S539" s="217" t="s">
        <v>848</v>
      </c>
      <c r="T539" s="217" t="s">
        <v>850</v>
      </c>
    </row>
    <row r="540" spans="2:20" x14ac:dyDescent="0.3">
      <c r="B540" s="214" t="s">
        <v>667</v>
      </c>
      <c r="C540" s="215" t="s">
        <v>408</v>
      </c>
      <c r="D540" s="216" t="str">
        <f>[2]!HsSetValue(E540,"FCC","Scenario#"&amp;R540&amp;";Years#"&amp;J540&amp;";Period#"&amp;I540&amp;";View#"&amp;S540&amp;";Entity#"&amp;H540&amp;";Data Source#"&amp;K540&amp;";Account#"&amp;F540&amp;";Intercompany#"&amp;L540&amp;";Movement#"&amp;Q540&amp;";Consolidation#"&amp;T540&amp;";Custom1#"&amp;M540&amp;";Custom2#"&amp;N540&amp;";Custom3#"&amp;O540&amp;";Custom4#"&amp;P540&amp;"")</f>
        <v>#Invalid Syntax</v>
      </c>
      <c r="E540" s="216">
        <f>SUMIFS('Investment Analysis'!$H$22:$H$69,'Investment Analysis'!$E$22:$E$69,"Mortgage Backed Securities",'Investment Analysis'!$AB$22:$AB$69,"7")</f>
        <v>0</v>
      </c>
      <c r="F540" s="217" t="s">
        <v>674</v>
      </c>
      <c r="G540" s="217" t="s">
        <v>1061</v>
      </c>
      <c r="H540" s="218" t="e">
        <f t="shared" si="192"/>
        <v>#N/A</v>
      </c>
      <c r="I540" s="218" t="str">
        <f t="shared" si="192"/>
        <v>Jun</v>
      </c>
      <c r="J540" s="217" t="str">
        <f t="shared" si="188"/>
        <v>FY25</v>
      </c>
      <c r="K540" s="217" t="s">
        <v>843</v>
      </c>
      <c r="L540" s="217" t="s">
        <v>844</v>
      </c>
      <c r="M540" s="217" t="s">
        <v>845</v>
      </c>
      <c r="N540" s="217" t="s">
        <v>846</v>
      </c>
      <c r="O540" s="217" t="s">
        <v>62</v>
      </c>
      <c r="P540" s="217" t="s">
        <v>574</v>
      </c>
      <c r="Q540" s="217" t="str">
        <f t="shared" si="193"/>
        <v>FCCS_ClosingBalance_Input</v>
      </c>
      <c r="R540" s="217" t="s">
        <v>169</v>
      </c>
      <c r="S540" s="217" t="s">
        <v>848</v>
      </c>
      <c r="T540" s="217" t="s">
        <v>850</v>
      </c>
    </row>
    <row r="541" spans="2:20" x14ac:dyDescent="0.3">
      <c r="B541" s="214" t="s">
        <v>667</v>
      </c>
      <c r="C541" s="215" t="s">
        <v>408</v>
      </c>
      <c r="D541" s="216" t="str">
        <f>[2]!HsSetValue(E541,"FCC","Scenario#"&amp;R541&amp;";Years#"&amp;J541&amp;";Period#"&amp;I541&amp;";View#"&amp;S541&amp;";Entity#"&amp;H541&amp;";Data Source#"&amp;K541&amp;";Account#"&amp;F541&amp;";Intercompany#"&amp;L541&amp;";Movement#"&amp;Q541&amp;";Consolidation#"&amp;T541&amp;";Custom1#"&amp;M541&amp;";Custom2#"&amp;N541&amp;";Custom3#"&amp;O541&amp;";Custom4#"&amp;P541&amp;"")</f>
        <v>#Invalid Syntax</v>
      </c>
      <c r="E541" s="216">
        <f>SUMIFS('Investment Analysis'!$H$22:$H$69,'Investment Analysis'!$E$22:$E$69,"Mortgage Backed Securities",'Investment Analysis'!$AB$22:$AB$69,"6")</f>
        <v>0</v>
      </c>
      <c r="F541" s="217" t="s">
        <v>674</v>
      </c>
      <c r="G541" s="217" t="s">
        <v>1061</v>
      </c>
      <c r="H541" s="218" t="e">
        <f t="shared" si="192"/>
        <v>#N/A</v>
      </c>
      <c r="I541" s="218" t="str">
        <f t="shared" si="192"/>
        <v>Jun</v>
      </c>
      <c r="J541" s="217" t="str">
        <f t="shared" si="192"/>
        <v>FY25</v>
      </c>
      <c r="K541" s="217" t="s">
        <v>843</v>
      </c>
      <c r="L541" s="217" t="s">
        <v>844</v>
      </c>
      <c r="M541" s="217" t="s">
        <v>845</v>
      </c>
      <c r="N541" s="217" t="s">
        <v>846</v>
      </c>
      <c r="O541" s="217" t="s">
        <v>436</v>
      </c>
      <c r="P541" s="217" t="s">
        <v>574</v>
      </c>
      <c r="Q541" s="217" t="str">
        <f t="shared" si="193"/>
        <v>FCCS_ClosingBalance_Input</v>
      </c>
      <c r="R541" s="217" t="s">
        <v>169</v>
      </c>
      <c r="S541" s="217" t="s">
        <v>848</v>
      </c>
      <c r="T541" s="217" t="s">
        <v>850</v>
      </c>
    </row>
    <row r="542" spans="2:20" s="371" customFormat="1" x14ac:dyDescent="0.3">
      <c r="B542" s="214" t="s">
        <v>667</v>
      </c>
      <c r="C542" s="215" t="s">
        <v>408</v>
      </c>
      <c r="D542" s="216" t="str">
        <f>[2]!HsSetValue(E542,"FCC","Scenario#"&amp;R542&amp;";Years#"&amp;J542&amp;";Period#"&amp;I542&amp;";View#"&amp;S542&amp;";Entity#"&amp;H542&amp;";Data Source#"&amp;K542&amp;";Account#"&amp;F542&amp;";Intercompany#"&amp;L542&amp;";Movement#"&amp;Q542&amp;";Consolidation#"&amp;T542&amp;";Custom1#"&amp;M542&amp;";Custom2#"&amp;N542&amp;";Custom3#"&amp;O542&amp;";Custom4#"&amp;P542&amp;"")</f>
        <v>#Invalid Syntax</v>
      </c>
      <c r="E542" s="216">
        <f>SUMIFS('Investment Analysis'!$H$22:$H$69,'Investment Analysis'!$E$22:$E$69,"Mortgage Backed Securities",'Investment Analysis'!$AB$22:$AB$69,"5")</f>
        <v>0</v>
      </c>
      <c r="F542" s="217" t="s">
        <v>674</v>
      </c>
      <c r="G542" s="217" t="s">
        <v>1061</v>
      </c>
      <c r="H542" s="218" t="e">
        <f t="shared" si="192"/>
        <v>#N/A</v>
      </c>
      <c r="I542" s="218" t="str">
        <f t="shared" si="192"/>
        <v>Jun</v>
      </c>
      <c r="J542" s="217" t="str">
        <f t="shared" si="192"/>
        <v>FY25</v>
      </c>
      <c r="K542" s="217" t="str">
        <f t="shared" si="192"/>
        <v>FCCS_Other Data</v>
      </c>
      <c r="L542" s="217" t="str">
        <f t="shared" si="192"/>
        <v>FCCS_No Intercompany</v>
      </c>
      <c r="M542" s="217" t="str">
        <f>+M$1</f>
        <v>No Custom1</v>
      </c>
      <c r="N542" s="217" t="str">
        <f t="shared" si="192"/>
        <v>No Custom2</v>
      </c>
      <c r="O542" s="217" t="s">
        <v>434</v>
      </c>
      <c r="P542" s="217" t="s">
        <v>574</v>
      </c>
      <c r="Q542" s="217" t="str">
        <f t="shared" si="193"/>
        <v>FCCS_ClosingBalance_Input</v>
      </c>
      <c r="R542" s="217" t="str">
        <f t="shared" ref="R542:S546" si="194">+R$2</f>
        <v>Actual</v>
      </c>
      <c r="S542" s="217" t="str">
        <f t="shared" si="194"/>
        <v>FCCS_YTD_Input</v>
      </c>
      <c r="T542" s="217" t="s">
        <v>850</v>
      </c>
    </row>
    <row r="543" spans="2:20" s="371" customFormat="1" x14ac:dyDescent="0.3">
      <c r="B543" s="214" t="s">
        <v>667</v>
      </c>
      <c r="C543" s="215" t="s">
        <v>408</v>
      </c>
      <c r="D543" s="216" t="str">
        <f>[2]!HsSetValue(E543,"FCC","Scenario#"&amp;R543&amp;";Years#"&amp;J543&amp;";Period#"&amp;I543&amp;";View#"&amp;S543&amp;";Entity#"&amp;H543&amp;";Data Source#"&amp;K543&amp;";Account#"&amp;F543&amp;";Intercompany#"&amp;L543&amp;";Movement#"&amp;Q543&amp;";Consolidation#"&amp;T543&amp;";Custom1#"&amp;M543&amp;";Custom2#"&amp;N543&amp;";Custom3#"&amp;O543&amp;";Custom4#"&amp;P543&amp;"")</f>
        <v>#Invalid Syntax</v>
      </c>
      <c r="E543" s="216">
        <f>SUMIFS('Investment Analysis'!$H$22:$H$69,'Investment Analysis'!$E$22:$E$69,"Mortgage Backed Securities",'Investment Analysis'!$AB$22:$AB$69,"4")</f>
        <v>0</v>
      </c>
      <c r="F543" s="217" t="s">
        <v>674</v>
      </c>
      <c r="G543" s="217" t="s">
        <v>1061</v>
      </c>
      <c r="H543" s="218" t="e">
        <f t="shared" si="192"/>
        <v>#N/A</v>
      </c>
      <c r="I543" s="218" t="str">
        <f t="shared" si="192"/>
        <v>Jun</v>
      </c>
      <c r="J543" s="217" t="str">
        <f t="shared" si="192"/>
        <v>FY25</v>
      </c>
      <c r="K543" s="217" t="str">
        <f t="shared" si="192"/>
        <v>FCCS_Other Data</v>
      </c>
      <c r="L543" s="217" t="str">
        <f t="shared" si="192"/>
        <v>FCCS_No Intercompany</v>
      </c>
      <c r="M543" s="217" t="str">
        <f>+M$1</f>
        <v>No Custom1</v>
      </c>
      <c r="N543" s="217" t="str">
        <f t="shared" si="192"/>
        <v>No Custom2</v>
      </c>
      <c r="O543" s="217" t="s">
        <v>63</v>
      </c>
      <c r="P543" s="217" t="s">
        <v>574</v>
      </c>
      <c r="Q543" s="217" t="str">
        <f t="shared" si="193"/>
        <v>FCCS_ClosingBalance_Input</v>
      </c>
      <c r="R543" s="217" t="str">
        <f t="shared" si="194"/>
        <v>Actual</v>
      </c>
      <c r="S543" s="217" t="str">
        <f t="shared" si="194"/>
        <v>FCCS_YTD_Input</v>
      </c>
      <c r="T543" s="217" t="s">
        <v>850</v>
      </c>
    </row>
    <row r="544" spans="2:20" s="371" customFormat="1" x14ac:dyDescent="0.3">
      <c r="B544" s="214" t="s">
        <v>667</v>
      </c>
      <c r="C544" s="215" t="s">
        <v>408</v>
      </c>
      <c r="D544" s="216" t="str">
        <f>[2]!HsSetValue(E544,"FCC","Scenario#"&amp;R544&amp;";Years#"&amp;J544&amp;";Period#"&amp;I544&amp;";View#"&amp;S544&amp;";Entity#"&amp;H544&amp;";Data Source#"&amp;K544&amp;";Account#"&amp;F544&amp;";Intercompany#"&amp;L544&amp;";Movement#"&amp;Q544&amp;";Consolidation#"&amp;T544&amp;";Custom1#"&amp;M544&amp;";Custom2#"&amp;N544&amp;";Custom3#"&amp;O544&amp;";Custom4#"&amp;P544&amp;"")</f>
        <v>#Invalid Syntax</v>
      </c>
      <c r="E544" s="216">
        <f>SUMIFS('Investment Analysis'!$H$22:$H$69,'Investment Analysis'!$E$22:$E$69,"Mortgage Backed Securities",'Investment Analysis'!$AB$22:$AB$69,"3")</f>
        <v>0</v>
      </c>
      <c r="F544" s="217" t="s">
        <v>674</v>
      </c>
      <c r="G544" s="217" t="s">
        <v>1061</v>
      </c>
      <c r="H544" s="218" t="e">
        <f t="shared" si="192"/>
        <v>#N/A</v>
      </c>
      <c r="I544" s="218" t="str">
        <f t="shared" si="192"/>
        <v>Jun</v>
      </c>
      <c r="J544" s="217" t="str">
        <f t="shared" si="192"/>
        <v>FY25</v>
      </c>
      <c r="K544" s="217" t="str">
        <f t="shared" si="192"/>
        <v>FCCS_Other Data</v>
      </c>
      <c r="L544" s="217" t="str">
        <f t="shared" si="192"/>
        <v>FCCS_No Intercompany</v>
      </c>
      <c r="M544" s="217" t="str">
        <f>+M$1</f>
        <v>No Custom1</v>
      </c>
      <c r="N544" s="217" t="str">
        <f t="shared" si="192"/>
        <v>No Custom2</v>
      </c>
      <c r="O544" s="217" t="s">
        <v>622</v>
      </c>
      <c r="P544" s="217" t="s">
        <v>574</v>
      </c>
      <c r="Q544" s="217" t="str">
        <f t="shared" si="193"/>
        <v>FCCS_ClosingBalance_Input</v>
      </c>
      <c r="R544" s="217" t="str">
        <f t="shared" si="194"/>
        <v>Actual</v>
      </c>
      <c r="S544" s="217" t="str">
        <f t="shared" si="194"/>
        <v>FCCS_YTD_Input</v>
      </c>
      <c r="T544" s="217" t="s">
        <v>850</v>
      </c>
    </row>
    <row r="545" spans="2:20" s="371" customFormat="1" x14ac:dyDescent="0.3">
      <c r="B545" s="214" t="s">
        <v>667</v>
      </c>
      <c r="C545" s="215" t="s">
        <v>408</v>
      </c>
      <c r="D545" s="216" t="str">
        <f>[2]!HsSetValue(E545,"FCC","Scenario#"&amp;R545&amp;";Years#"&amp;J545&amp;";Period#"&amp;I545&amp;";View#"&amp;S545&amp;";Entity#"&amp;H545&amp;";Data Source#"&amp;K545&amp;";Account#"&amp;F545&amp;";Intercompany#"&amp;L545&amp;";Movement#"&amp;Q545&amp;";Consolidation#"&amp;T545&amp;";Custom1#"&amp;M545&amp;";Custom2#"&amp;N545&amp;";Custom3#"&amp;O545&amp;";Custom4#"&amp;P545&amp;"")</f>
        <v>#Invalid Syntax</v>
      </c>
      <c r="E545" s="216">
        <f>SUMIFS('Investment Analysis'!$H$22:$H$69,'Investment Analysis'!$E$22:$E$69,"Mortgage Backed Securities",'Investment Analysis'!$AB$22:$AB$69,"2")</f>
        <v>0</v>
      </c>
      <c r="F545" s="217" t="s">
        <v>674</v>
      </c>
      <c r="G545" s="217" t="s">
        <v>1061</v>
      </c>
      <c r="H545" s="218" t="e">
        <f t="shared" si="192"/>
        <v>#N/A</v>
      </c>
      <c r="I545" s="218" t="str">
        <f t="shared" si="192"/>
        <v>Jun</v>
      </c>
      <c r="J545" s="217" t="str">
        <f t="shared" si="192"/>
        <v>FY25</v>
      </c>
      <c r="K545" s="217" t="str">
        <f t="shared" si="192"/>
        <v>FCCS_Other Data</v>
      </c>
      <c r="L545" s="217" t="str">
        <f t="shared" si="192"/>
        <v>FCCS_No Intercompany</v>
      </c>
      <c r="M545" s="217" t="str">
        <f>+M$1</f>
        <v>No Custom1</v>
      </c>
      <c r="N545" s="217" t="str">
        <f t="shared" si="192"/>
        <v>No Custom2</v>
      </c>
      <c r="O545" s="217" t="s">
        <v>618</v>
      </c>
      <c r="P545" s="217" t="s">
        <v>574</v>
      </c>
      <c r="Q545" s="217" t="str">
        <f t="shared" si="193"/>
        <v>FCCS_ClosingBalance_Input</v>
      </c>
      <c r="R545" s="217" t="str">
        <f t="shared" si="194"/>
        <v>Actual</v>
      </c>
      <c r="S545" s="217" t="str">
        <f t="shared" si="194"/>
        <v>FCCS_YTD_Input</v>
      </c>
      <c r="T545" s="217" t="s">
        <v>850</v>
      </c>
    </row>
    <row r="546" spans="2:20" s="371" customFormat="1" x14ac:dyDescent="0.3">
      <c r="B546" s="214" t="s">
        <v>667</v>
      </c>
      <c r="C546" s="215" t="s">
        <v>408</v>
      </c>
      <c r="D546" s="216" t="str">
        <f>[2]!HsSetValue(E546,"FCC","Scenario#"&amp;R546&amp;";Years#"&amp;J546&amp;";Period#"&amp;I546&amp;";View#"&amp;S546&amp;";Entity#"&amp;H546&amp;";Data Source#"&amp;K546&amp;";Account#"&amp;F546&amp;";Intercompany#"&amp;L546&amp;";Movement#"&amp;Q546&amp;";Consolidation#"&amp;T546&amp;";Custom1#"&amp;M546&amp;";Custom2#"&amp;N546&amp;";Custom3#"&amp;O546&amp;";Custom4#"&amp;P546&amp;"")</f>
        <v>#Invalid Syntax</v>
      </c>
      <c r="E546" s="216">
        <f>SUMIFS('Investment Analysis'!$H$22:$H$69,'Investment Analysis'!$E$22:$E$69,"Mortgage Backed Securities",'Investment Analysis'!$AB$22:$AB$69,"1")</f>
        <v>0</v>
      </c>
      <c r="F546" s="217" t="s">
        <v>674</v>
      </c>
      <c r="G546" s="217" t="s">
        <v>1061</v>
      </c>
      <c r="H546" s="218" t="e">
        <f t="shared" si="192"/>
        <v>#N/A</v>
      </c>
      <c r="I546" s="218" t="str">
        <f t="shared" si="192"/>
        <v>Jun</v>
      </c>
      <c r="J546" s="217" t="str">
        <f t="shared" si="192"/>
        <v>FY25</v>
      </c>
      <c r="K546" s="217" t="str">
        <f t="shared" si="192"/>
        <v>FCCS_Other Data</v>
      </c>
      <c r="L546" s="217" t="str">
        <f t="shared" si="192"/>
        <v>FCCS_No Intercompany</v>
      </c>
      <c r="M546" s="217" t="str">
        <f>+M$1</f>
        <v>No Custom1</v>
      </c>
      <c r="N546" s="217" t="str">
        <f t="shared" si="192"/>
        <v>No Custom2</v>
      </c>
      <c r="O546" s="217" t="s">
        <v>64</v>
      </c>
      <c r="P546" s="217" t="s">
        <v>574</v>
      </c>
      <c r="Q546" s="217" t="str">
        <f t="shared" si="193"/>
        <v>FCCS_ClosingBalance_Input</v>
      </c>
      <c r="R546" s="217" t="str">
        <f t="shared" si="194"/>
        <v>Actual</v>
      </c>
      <c r="S546" s="217" t="str">
        <f t="shared" si="194"/>
        <v>FCCS_YTD_Input</v>
      </c>
      <c r="T546" s="217" t="s">
        <v>850</v>
      </c>
    </row>
    <row r="547" spans="2:20" x14ac:dyDescent="0.3">
      <c r="B547" s="214" t="s">
        <v>667</v>
      </c>
      <c r="C547" s="215" t="s">
        <v>408</v>
      </c>
      <c r="D547" s="216" t="str">
        <f>[2]!HsSetValue(E547,"FCC","Scenario#"&amp;R547&amp;";Years#"&amp;J547&amp;";Period#"&amp;I547&amp;";View#"&amp;S547&amp;";Entity#"&amp;H547&amp;";Data Source#"&amp;K547&amp;";Account#"&amp;F547&amp;";Intercompany#"&amp;L547&amp;";Movement#"&amp;Q547&amp;";Consolidation#"&amp;T547&amp;";Custom1#"&amp;M547&amp;";Custom2#"&amp;N547&amp;";Custom3#"&amp;O547&amp;";Custom4#"&amp;P547&amp;"")</f>
        <v>#Invalid Syntax</v>
      </c>
      <c r="E547" s="216">
        <f>SUMIFS('Investment Analysis'!$H$22:$H$69,'Investment Analysis'!$E$22:$E$69,"Mortgage Backed Securities",'Investment Analysis'!$AI$22:$AI$69,"16")</f>
        <v>0</v>
      </c>
      <c r="F547" s="217" t="s">
        <v>674</v>
      </c>
      <c r="G547" s="217" t="s">
        <v>1061</v>
      </c>
      <c r="H547" s="218" t="e">
        <f t="shared" si="192"/>
        <v>#N/A</v>
      </c>
      <c r="I547" s="218" t="str">
        <f t="shared" si="192"/>
        <v>Jun</v>
      </c>
      <c r="J547" s="217" t="str">
        <f t="shared" si="192"/>
        <v>FY25</v>
      </c>
      <c r="K547" s="217" t="s">
        <v>843</v>
      </c>
      <c r="L547" s="217" t="s">
        <v>844</v>
      </c>
      <c r="M547" s="217" t="s">
        <v>845</v>
      </c>
      <c r="N547" s="217" t="s">
        <v>846</v>
      </c>
      <c r="O547" s="217" t="s">
        <v>726</v>
      </c>
      <c r="P547" s="217" t="s">
        <v>574</v>
      </c>
      <c r="Q547" s="217" t="str">
        <f t="shared" si="193"/>
        <v>FCCS_ClosingBalance_Input</v>
      </c>
      <c r="R547" s="217" t="s">
        <v>169</v>
      </c>
      <c r="S547" s="217" t="s">
        <v>848</v>
      </c>
      <c r="T547" s="217" t="s">
        <v>850</v>
      </c>
    </row>
    <row r="548" spans="2:20" x14ac:dyDescent="0.3">
      <c r="B548" s="214" t="s">
        <v>667</v>
      </c>
      <c r="C548" s="215" t="s">
        <v>408</v>
      </c>
      <c r="D548" s="216" t="str">
        <f>[2]!HsSetValue(E548,"FCC","Scenario#"&amp;R548&amp;";Years#"&amp;J548&amp;";Period#"&amp;I548&amp;";View#"&amp;S548&amp;";Entity#"&amp;H548&amp;";Data Source#"&amp;K548&amp;";Account#"&amp;F548&amp;";Intercompany#"&amp;L548&amp;";Movement#"&amp;Q548&amp;";Consolidation#"&amp;T548&amp;";Custom1#"&amp;M548&amp;";Custom2#"&amp;N548&amp;";Custom3#"&amp;O548&amp;";Custom4#"&amp;P548&amp;"")</f>
        <v>#Invalid Syntax</v>
      </c>
      <c r="E548" s="216">
        <f>SUMIFS('Investment Analysis'!$H$22:$H$69,'Investment Analysis'!$E$22:$E$69,"Mortgage Backed Securities",'Investment Analysis'!$AI$22:$AI$69,"15")</f>
        <v>0</v>
      </c>
      <c r="F548" s="217" t="s">
        <v>674</v>
      </c>
      <c r="G548" s="217" t="s">
        <v>1061</v>
      </c>
      <c r="H548" s="218" t="e">
        <f t="shared" si="192"/>
        <v>#N/A</v>
      </c>
      <c r="I548" s="218" t="str">
        <f t="shared" si="192"/>
        <v>Jun</v>
      </c>
      <c r="J548" s="217" t="str">
        <f t="shared" si="192"/>
        <v>FY25</v>
      </c>
      <c r="K548" s="217" t="s">
        <v>843</v>
      </c>
      <c r="L548" s="217" t="s">
        <v>844</v>
      </c>
      <c r="M548" s="217" t="s">
        <v>845</v>
      </c>
      <c r="N548" s="217" t="s">
        <v>846</v>
      </c>
      <c r="O548" s="217" t="s">
        <v>727</v>
      </c>
      <c r="P548" s="217" t="s">
        <v>574</v>
      </c>
      <c r="Q548" s="217" t="str">
        <f t="shared" si="193"/>
        <v>FCCS_ClosingBalance_Input</v>
      </c>
      <c r="R548" s="217" t="s">
        <v>169</v>
      </c>
      <c r="S548" s="217" t="s">
        <v>848</v>
      </c>
      <c r="T548" s="217" t="s">
        <v>850</v>
      </c>
    </row>
    <row r="549" spans="2:20" x14ac:dyDescent="0.3">
      <c r="B549" s="214" t="s">
        <v>667</v>
      </c>
      <c r="C549" s="215" t="s">
        <v>408</v>
      </c>
      <c r="D549" s="216" t="str">
        <f>[2]!HsSetValue(E549,"FCC","Scenario#"&amp;R549&amp;";Years#"&amp;J549&amp;";Period#"&amp;I549&amp;";View#"&amp;S549&amp;";Entity#"&amp;H549&amp;";Data Source#"&amp;K549&amp;";Account#"&amp;F549&amp;";Intercompany#"&amp;L549&amp;";Movement#"&amp;Q549&amp;";Consolidation#"&amp;T549&amp;";Custom1#"&amp;M549&amp;";Custom2#"&amp;N549&amp;";Custom3#"&amp;O549&amp;";Custom4#"&amp;P549&amp;"")</f>
        <v>#Invalid Syntax</v>
      </c>
      <c r="E549" s="216">
        <f>SUMIFS('Investment Analysis'!$H$22:$H$69,'Investment Analysis'!$E$22:$E$69,"Mortgage Backed Securities",'Investment Analysis'!$AI$22:$AI$69,"14")</f>
        <v>0</v>
      </c>
      <c r="F549" s="217" t="s">
        <v>674</v>
      </c>
      <c r="G549" s="217" t="s">
        <v>1061</v>
      </c>
      <c r="H549" s="218" t="e">
        <f t="shared" si="192"/>
        <v>#N/A</v>
      </c>
      <c r="I549" s="218" t="str">
        <f t="shared" si="192"/>
        <v>Jun</v>
      </c>
      <c r="J549" s="217" t="str">
        <f t="shared" si="192"/>
        <v>FY25</v>
      </c>
      <c r="K549" s="217" t="s">
        <v>843</v>
      </c>
      <c r="L549" s="217" t="s">
        <v>844</v>
      </c>
      <c r="M549" s="217" t="s">
        <v>845</v>
      </c>
      <c r="N549" s="217" t="s">
        <v>846</v>
      </c>
      <c r="O549" s="217" t="s">
        <v>728</v>
      </c>
      <c r="P549" s="217" t="s">
        <v>574</v>
      </c>
      <c r="Q549" s="217" t="str">
        <f t="shared" si="193"/>
        <v>FCCS_ClosingBalance_Input</v>
      </c>
      <c r="R549" s="217" t="s">
        <v>169</v>
      </c>
      <c r="S549" s="217" t="s">
        <v>848</v>
      </c>
      <c r="T549" s="217" t="s">
        <v>850</v>
      </c>
    </row>
    <row r="550" spans="2:20" x14ac:dyDescent="0.3">
      <c r="B550" s="214" t="s">
        <v>667</v>
      </c>
      <c r="C550" s="215" t="s">
        <v>408</v>
      </c>
      <c r="D550" s="216" t="str">
        <f>[2]!HsSetValue(E550,"FCC","Scenario#"&amp;R550&amp;";Years#"&amp;J550&amp;";Period#"&amp;I550&amp;";View#"&amp;S550&amp;";Entity#"&amp;H550&amp;";Data Source#"&amp;K550&amp;";Account#"&amp;F550&amp;";Intercompany#"&amp;L550&amp;";Movement#"&amp;Q550&amp;";Consolidation#"&amp;T550&amp;";Custom1#"&amp;M550&amp;";Custom2#"&amp;N550&amp;";Custom3#"&amp;O550&amp;";Custom4#"&amp;P550&amp;"")</f>
        <v>#Invalid Syntax</v>
      </c>
      <c r="E550" s="216">
        <f>SUMIFS('Investment Analysis'!$H$22:$H$69,'Investment Analysis'!$E$22:$E$69,"Mortgage Backed Securities",'Investment Analysis'!$AB$22:$AB$69,"0")+SUMIFS('Investment Analysis'!$H$22:$H$69,'Investment Analysis'!$E$22:$E$69,"Mortgage Backed Securities",'Investment Analysis'!$AI$22:$AI$69,"0")</f>
        <v>0</v>
      </c>
      <c r="F550" s="217" t="s">
        <v>674</v>
      </c>
      <c r="G550" s="217" t="s">
        <v>1061</v>
      </c>
      <c r="H550" s="218" t="e">
        <f t="shared" si="192"/>
        <v>#N/A</v>
      </c>
      <c r="I550" s="218" t="str">
        <f t="shared" si="192"/>
        <v>Jun</v>
      </c>
      <c r="J550" s="217" t="str">
        <f t="shared" si="192"/>
        <v>FY25</v>
      </c>
      <c r="K550" s="217" t="s">
        <v>843</v>
      </c>
      <c r="L550" s="217" t="s">
        <v>844</v>
      </c>
      <c r="M550" s="217" t="s">
        <v>845</v>
      </c>
      <c r="N550" s="217" t="s">
        <v>846</v>
      </c>
      <c r="O550" s="217" t="s">
        <v>609</v>
      </c>
      <c r="P550" s="217" t="s">
        <v>574</v>
      </c>
      <c r="Q550" s="217" t="str">
        <f t="shared" si="193"/>
        <v>FCCS_ClosingBalance_Input</v>
      </c>
      <c r="R550" s="217" t="s">
        <v>169</v>
      </c>
      <c r="S550" s="217" t="s">
        <v>848</v>
      </c>
      <c r="T550" s="217" t="s">
        <v>850</v>
      </c>
    </row>
    <row r="551" spans="2:20" x14ac:dyDescent="0.3">
      <c r="B551" s="210"/>
      <c r="C551" s="211"/>
      <c r="D551" s="212"/>
      <c r="E551" s="212"/>
    </row>
    <row r="552" spans="2:20" x14ac:dyDescent="0.3">
      <c r="B552" s="219" t="s">
        <v>1014</v>
      </c>
      <c r="C552" s="220" t="s">
        <v>408</v>
      </c>
      <c r="D552" s="221" t="str">
        <f>[2]!HsSetValue(E552,"FCC","Scenario#"&amp;R552&amp;";Years#"&amp;J552&amp;";Period#"&amp;I552&amp;";View#"&amp;S552&amp;";Entity#"&amp;H552&amp;";Data Source#"&amp;K552&amp;";Account#"&amp;F552&amp;";Intercompany#"&amp;L552&amp;";Movement#"&amp;Q552&amp;";Consolidation#"&amp;T552&amp;";Custom1#"&amp;M552&amp;";Custom2#"&amp;N552&amp;";Custom3#"&amp;O552&amp;";Custom4#"&amp;P552&amp;"")</f>
        <v>#Invalid Syntax</v>
      </c>
      <c r="E552" s="221">
        <f>SUMIFS('Investment Analysis'!$H$22:$H$69,'Investment Analysis'!$E$22:$E$69,"Mortgage Backed Securities",'Investment Analysis'!$AK$22:$AK$69,"21")</f>
        <v>0</v>
      </c>
      <c r="F552" s="222" t="s">
        <v>675</v>
      </c>
      <c r="G552" s="222" t="s">
        <v>1032</v>
      </c>
      <c r="H552" s="223" t="e">
        <f>+H$2</f>
        <v>#N/A</v>
      </c>
      <c r="I552" s="223" t="str">
        <f t="shared" ref="I552:J594" si="195">+I$2</f>
        <v>Jun</v>
      </c>
      <c r="J552" s="222" t="str">
        <f t="shared" si="192"/>
        <v>FY25</v>
      </c>
      <c r="K552" s="222" t="s">
        <v>843</v>
      </c>
      <c r="L552" s="222" t="s">
        <v>844</v>
      </c>
      <c r="M552" s="222" t="s">
        <v>845</v>
      </c>
      <c r="N552" s="222" t="s">
        <v>846</v>
      </c>
      <c r="O552" s="222" t="s">
        <v>729</v>
      </c>
      <c r="P552" s="222" t="s">
        <v>574</v>
      </c>
      <c r="Q552" s="222" t="str">
        <f t="shared" ref="Q552:Q562" si="196">Q$2</f>
        <v>FCCS_ClosingBalance_Input</v>
      </c>
      <c r="R552" s="222" t="s">
        <v>169</v>
      </c>
      <c r="S552" s="222" t="s">
        <v>848</v>
      </c>
      <c r="T552" s="222" t="s">
        <v>850</v>
      </c>
    </row>
    <row r="553" spans="2:20" x14ac:dyDescent="0.3">
      <c r="B553" s="219" t="s">
        <v>1014</v>
      </c>
      <c r="C553" s="220" t="s">
        <v>408</v>
      </c>
      <c r="D553" s="221" t="str">
        <f>[2]!HsSetValue(E553,"FCC","Scenario#"&amp;R553&amp;";Years#"&amp;J553&amp;";Period#"&amp;I553&amp;";View#"&amp;S553&amp;";Entity#"&amp;H553&amp;";Data Source#"&amp;K553&amp;";Account#"&amp;F553&amp;";Intercompany#"&amp;L553&amp;";Movement#"&amp;Q553&amp;";Consolidation#"&amp;T553&amp;";Custom1#"&amp;M553&amp;";Custom2#"&amp;N553&amp;";Custom3#"&amp;O553&amp;";Custom4#"&amp;P553&amp;"")</f>
        <v>#Invalid Syntax</v>
      </c>
      <c r="E553" s="221">
        <f>SUMIFS('Investment Analysis'!$H$22:$H$69,'Investment Analysis'!$E$22:$E$69,"Mortgage Backed Securities",'Investment Analysis'!$AK$22:$AK$69,"22")</f>
        <v>0</v>
      </c>
      <c r="F553" s="222" t="s">
        <v>675</v>
      </c>
      <c r="G553" s="222" t="s">
        <v>1032</v>
      </c>
      <c r="H553" s="223" t="e">
        <f>+H$2</f>
        <v>#N/A</v>
      </c>
      <c r="I553" s="223" t="str">
        <f t="shared" si="195"/>
        <v>Jun</v>
      </c>
      <c r="J553" s="222" t="str">
        <f t="shared" si="195"/>
        <v>FY25</v>
      </c>
      <c r="K553" s="222" t="s">
        <v>843</v>
      </c>
      <c r="L553" s="222" t="s">
        <v>844</v>
      </c>
      <c r="M553" s="222" t="s">
        <v>845</v>
      </c>
      <c r="N553" s="222" t="s">
        <v>846</v>
      </c>
      <c r="O553" s="222" t="s">
        <v>730</v>
      </c>
      <c r="P553" s="222" t="s">
        <v>574</v>
      </c>
      <c r="Q553" s="222" t="str">
        <f t="shared" si="196"/>
        <v>FCCS_ClosingBalance_Input</v>
      </c>
      <c r="R553" s="222" t="s">
        <v>169</v>
      </c>
      <c r="S553" s="222" t="s">
        <v>848</v>
      </c>
      <c r="T553" s="222" t="s">
        <v>850</v>
      </c>
    </row>
    <row r="554" spans="2:20" x14ac:dyDescent="0.3">
      <c r="B554" s="219" t="s">
        <v>1014</v>
      </c>
      <c r="C554" s="220" t="s">
        <v>408</v>
      </c>
      <c r="D554" s="221" t="str">
        <f>[2]!HsSetValue(E554,"FCC","Scenario#"&amp;R554&amp;";Years#"&amp;J554&amp;";Period#"&amp;I554&amp;";View#"&amp;S554&amp;";Entity#"&amp;H554&amp;";Data Source#"&amp;K554&amp;";Account#"&amp;F554&amp;";Intercompany#"&amp;L554&amp;";Movement#"&amp;Q554&amp;";Consolidation#"&amp;T554&amp;";Custom1#"&amp;M554&amp;";Custom2#"&amp;N554&amp;";Custom3#"&amp;O554&amp;";Custom4#"&amp;P554&amp;"")</f>
        <v>#Invalid Syntax</v>
      </c>
      <c r="E554" s="221">
        <f>SUMIFS('Investment Analysis'!$H$22:$H$69,'Investment Analysis'!$E$22:$E$69,"Mortgage Backed Securities",'Investment Analysis'!$AK$22:$AK$69,"23")</f>
        <v>0</v>
      </c>
      <c r="F554" s="222" t="s">
        <v>675</v>
      </c>
      <c r="G554" s="222" t="s">
        <v>1032</v>
      </c>
      <c r="H554" s="223" t="e">
        <f>+H$2</f>
        <v>#N/A</v>
      </c>
      <c r="I554" s="223" t="str">
        <f t="shared" si="195"/>
        <v>Jun</v>
      </c>
      <c r="J554" s="222" t="str">
        <f t="shared" si="195"/>
        <v>FY25</v>
      </c>
      <c r="K554" s="222" t="s">
        <v>843</v>
      </c>
      <c r="L554" s="222" t="s">
        <v>844</v>
      </c>
      <c r="M554" s="222" t="s">
        <v>845</v>
      </c>
      <c r="N554" s="222" t="s">
        <v>846</v>
      </c>
      <c r="O554" s="222" t="s">
        <v>731</v>
      </c>
      <c r="P554" s="222" t="s">
        <v>574</v>
      </c>
      <c r="Q554" s="222" t="str">
        <f t="shared" si="196"/>
        <v>FCCS_ClosingBalance_Input</v>
      </c>
      <c r="R554" s="222" t="s">
        <v>169</v>
      </c>
      <c r="S554" s="222" t="s">
        <v>848</v>
      </c>
      <c r="T554" s="222" t="s">
        <v>850</v>
      </c>
    </row>
    <row r="555" spans="2:20" x14ac:dyDescent="0.3">
      <c r="B555" s="219" t="s">
        <v>1014</v>
      </c>
      <c r="C555" s="220" t="s">
        <v>408</v>
      </c>
      <c r="D555" s="221" t="str">
        <f>[2]!HsSetValue(E555,"FCC","Scenario#"&amp;R555&amp;";Years#"&amp;J555&amp;";Period#"&amp;I555&amp;";View#"&amp;S555&amp;";Entity#"&amp;H555&amp;";Data Source#"&amp;K555&amp;";Account#"&amp;F555&amp;";Intercompany#"&amp;L555&amp;";Movement#"&amp;Q555&amp;";Consolidation#"&amp;T555&amp;";Custom1#"&amp;M555&amp;";Custom2#"&amp;N555&amp;";Custom3#"&amp;O555&amp;";Custom4#"&amp;P555&amp;"")</f>
        <v>#Invalid Syntax</v>
      </c>
      <c r="E555" s="221">
        <f>SUMIFS('Investment Analysis'!$H$22:$H$69,'Investment Analysis'!$E$22:$E$69,"Mortgage Backed Securities",'Investment Analysis'!$AK$22:$AK$69,"24")</f>
        <v>0</v>
      </c>
      <c r="F555" s="222" t="s">
        <v>675</v>
      </c>
      <c r="G555" s="222" t="s">
        <v>1032</v>
      </c>
      <c r="H555" s="223" t="e">
        <f>+H$2</f>
        <v>#N/A</v>
      </c>
      <c r="I555" s="223" t="str">
        <f t="shared" si="195"/>
        <v>Jun</v>
      </c>
      <c r="J555" s="222" t="str">
        <f t="shared" si="195"/>
        <v>FY25</v>
      </c>
      <c r="K555" s="222" t="s">
        <v>843</v>
      </c>
      <c r="L555" s="222" t="s">
        <v>844</v>
      </c>
      <c r="M555" s="222" t="s">
        <v>845</v>
      </c>
      <c r="N555" s="222" t="s">
        <v>846</v>
      </c>
      <c r="O555" s="222" t="s">
        <v>732</v>
      </c>
      <c r="P555" s="222" t="s">
        <v>574</v>
      </c>
      <c r="Q555" s="222" t="str">
        <f t="shared" si="196"/>
        <v>FCCS_ClosingBalance_Input</v>
      </c>
      <c r="R555" s="222" t="s">
        <v>169</v>
      </c>
      <c r="S555" s="222" t="s">
        <v>848</v>
      </c>
      <c r="T555" s="222" t="s">
        <v>850</v>
      </c>
    </row>
    <row r="556" spans="2:20" x14ac:dyDescent="0.3">
      <c r="B556" s="219" t="s">
        <v>1014</v>
      </c>
      <c r="C556" s="220" t="s">
        <v>408</v>
      </c>
      <c r="D556" s="221" t="str">
        <f>[2]!HsSetValue(E556,"FCC","Scenario#"&amp;R556&amp;";Years#"&amp;J556&amp;";Period#"&amp;I556&amp;";View#"&amp;S556&amp;";Entity#"&amp;H556&amp;";Data Source#"&amp;K556&amp;";Account#"&amp;F556&amp;";Intercompany#"&amp;L556&amp;";Movement#"&amp;Q556&amp;";Consolidation#"&amp;T556&amp;";Custom1#"&amp;M556&amp;";Custom2#"&amp;N556&amp;";Custom3#"&amp;O556&amp;";Custom4#"&amp;P556&amp;"")</f>
        <v>#Invalid Syntax</v>
      </c>
      <c r="E556" s="221">
        <f>SUMIFS('Investment Analysis'!$H$22:$H$69,'Investment Analysis'!$E$22:$E$69,"Mortgage Backed Securities",'Investment Analysis'!$AK$22:$AK$69,"25")</f>
        <v>0</v>
      </c>
      <c r="F556" s="222" t="s">
        <v>675</v>
      </c>
      <c r="G556" s="222" t="s">
        <v>1032</v>
      </c>
      <c r="H556" s="223" t="e">
        <f>+H$2</f>
        <v>#N/A</v>
      </c>
      <c r="I556" s="223" t="str">
        <f t="shared" si="195"/>
        <v>Jun</v>
      </c>
      <c r="J556" s="222" t="str">
        <f t="shared" si="195"/>
        <v>FY25</v>
      </c>
      <c r="K556" s="222" t="s">
        <v>843</v>
      </c>
      <c r="L556" s="222" t="s">
        <v>844</v>
      </c>
      <c r="M556" s="222" t="s">
        <v>845</v>
      </c>
      <c r="N556" s="222" t="s">
        <v>846</v>
      </c>
      <c r="O556" s="222" t="s">
        <v>733</v>
      </c>
      <c r="P556" s="222" t="s">
        <v>574</v>
      </c>
      <c r="Q556" s="222" t="str">
        <f t="shared" si="196"/>
        <v>FCCS_ClosingBalance_Input</v>
      </c>
      <c r="R556" s="222" t="s">
        <v>169</v>
      </c>
      <c r="S556" s="222" t="s">
        <v>848</v>
      </c>
      <c r="T556" s="222" t="s">
        <v>850</v>
      </c>
    </row>
    <row r="557" spans="2:20" x14ac:dyDescent="0.3">
      <c r="B557" s="210"/>
      <c r="C557" s="211"/>
      <c r="D557" s="212"/>
      <c r="E557" s="212"/>
    </row>
    <row r="558" spans="2:20" x14ac:dyDescent="0.3">
      <c r="B558" s="364" t="s">
        <v>668</v>
      </c>
      <c r="C558" s="364" t="s">
        <v>966</v>
      </c>
      <c r="D558" s="366" t="str">
        <f>[2]!HsSetValue(E558,"FCC","Scenario#"&amp;R558&amp;";Years#"&amp;J558&amp;";Period#"&amp;I558&amp;";View#"&amp;S558&amp;";Entity#"&amp;H558&amp;";Data Source#"&amp;K558&amp;";Account#"&amp;F558&amp;";Intercompany#"&amp;L558&amp;";Movement#"&amp;Q558&amp;";Consolidation#"&amp;T558&amp;";Custom1#"&amp;M558&amp;";Custom2#"&amp;N558&amp;";Custom3#"&amp;O558&amp;";Custom4#"&amp;P558&amp;"")</f>
        <v>#Invalid Syntax</v>
      </c>
      <c r="E558" s="366">
        <f>SUMIF('Investment Analysis'!$E$22:$E$69,'FCC Investments - Load Tab'!C558,'Investment Analysis'!$K$22:$K$69)</f>
        <v>0</v>
      </c>
      <c r="F558" s="367" t="s">
        <v>673</v>
      </c>
      <c r="G558" s="367" t="str">
        <f>"Inv. Analysis - Interest Rate Risk - "&amp;C558</f>
        <v>Inv. Analysis - Interest Rate Risk - Mortgage Backed Securities-Commercial</v>
      </c>
      <c r="H558" s="368" t="e">
        <f>+H$2</f>
        <v>#N/A</v>
      </c>
      <c r="I558" s="368" t="str">
        <f t="shared" si="195"/>
        <v>Jun</v>
      </c>
      <c r="J558" s="367" t="str">
        <f>+J$2</f>
        <v>FY25</v>
      </c>
      <c r="K558" s="367" t="s">
        <v>843</v>
      </c>
      <c r="L558" s="367" t="s">
        <v>844</v>
      </c>
      <c r="M558" s="367" t="s">
        <v>845</v>
      </c>
      <c r="N558" s="367" t="s">
        <v>846</v>
      </c>
      <c r="O558" s="367" t="s">
        <v>721</v>
      </c>
      <c r="P558" s="367" t="s">
        <v>876</v>
      </c>
      <c r="Q558" s="367" t="str">
        <f t="shared" si="196"/>
        <v>FCCS_ClosingBalance_Input</v>
      </c>
      <c r="R558" s="367" t="s">
        <v>169</v>
      </c>
      <c r="S558" s="367" t="s">
        <v>848</v>
      </c>
      <c r="T558" s="367" t="s">
        <v>850</v>
      </c>
    </row>
    <row r="559" spans="2:20" x14ac:dyDescent="0.3">
      <c r="B559" s="364" t="s">
        <v>668</v>
      </c>
      <c r="C559" s="364" t="s">
        <v>966</v>
      </c>
      <c r="D559" s="366" t="str">
        <f>[2]!HsSetValue(E559,"FCC","Scenario#"&amp;R559&amp;";Years#"&amp;J559&amp;";Period#"&amp;I559&amp;";View#"&amp;S559&amp;";Entity#"&amp;H559&amp;";Data Source#"&amp;K559&amp;";Account#"&amp;F559&amp;";Intercompany#"&amp;L559&amp;";Movement#"&amp;Q559&amp;";Consolidation#"&amp;T559&amp;";Custom1#"&amp;M559&amp;";Custom2#"&amp;N559&amp;";Custom3#"&amp;O559&amp;";Custom4#"&amp;P559&amp;"")</f>
        <v>#Invalid Syntax</v>
      </c>
      <c r="E559" s="366">
        <f>SUMIF('Investment Analysis'!$E$22:$E$69,'FCC Investments - Load Tab'!C558,'Investment Analysis'!$L$22:$L$69)</f>
        <v>0</v>
      </c>
      <c r="F559" s="367" t="s">
        <v>673</v>
      </c>
      <c r="G559" s="367" t="str">
        <f t="shared" ref="G559:G562" si="197">"Inv. Analysis - Interest Rate Risk - "&amp;C559</f>
        <v>Inv. Analysis - Interest Rate Risk - Mortgage Backed Securities-Commercial</v>
      </c>
      <c r="H559" s="368" t="e">
        <f>+H$2</f>
        <v>#N/A</v>
      </c>
      <c r="I559" s="368" t="str">
        <f t="shared" si="195"/>
        <v>Jun</v>
      </c>
      <c r="J559" s="367" t="str">
        <f>+J$2</f>
        <v>FY25</v>
      </c>
      <c r="K559" s="367" t="str">
        <f t="shared" ref="K559:N562" si="198">+K$2</f>
        <v>FCCS_Other Data</v>
      </c>
      <c r="L559" s="367" t="str">
        <f t="shared" si="198"/>
        <v>FCCS_No Intercompany</v>
      </c>
      <c r="M559" s="367" t="str">
        <f>+M$1</f>
        <v>No Custom1</v>
      </c>
      <c r="N559" s="367" t="str">
        <f t="shared" si="198"/>
        <v>No Custom2</v>
      </c>
      <c r="O559" s="367" t="s">
        <v>722</v>
      </c>
      <c r="P559" s="367" t="s">
        <v>876</v>
      </c>
      <c r="Q559" s="367" t="str">
        <f t="shared" si="196"/>
        <v>FCCS_ClosingBalance_Input</v>
      </c>
      <c r="R559" s="367" t="str">
        <f t="shared" ref="R559:S562" si="199">+R$2</f>
        <v>Actual</v>
      </c>
      <c r="S559" s="367" t="str">
        <f t="shared" si="199"/>
        <v>FCCS_YTD_Input</v>
      </c>
      <c r="T559" s="367" t="s">
        <v>850</v>
      </c>
    </row>
    <row r="560" spans="2:20" x14ac:dyDescent="0.3">
      <c r="B560" s="364" t="s">
        <v>668</v>
      </c>
      <c r="C560" s="364" t="s">
        <v>966</v>
      </c>
      <c r="D560" s="366" t="str">
        <f>[2]!HsSetValue(E560,"FCC","Scenario#"&amp;R560&amp;";Years#"&amp;J560&amp;";Period#"&amp;I560&amp;";View#"&amp;S560&amp;";Entity#"&amp;H560&amp;";Data Source#"&amp;K560&amp;";Account#"&amp;F560&amp;";Intercompany#"&amp;L560&amp;";Movement#"&amp;Q560&amp;";Consolidation#"&amp;T560&amp;";Custom1#"&amp;M560&amp;";Custom2#"&amp;N560&amp;";Custom3#"&amp;O560&amp;";Custom4#"&amp;P560&amp;"")</f>
        <v>#Invalid Syntax</v>
      </c>
      <c r="E560" s="366">
        <f>SUMIF('Investment Analysis'!$E$22:$E$69,'FCC Investments - Load Tab'!C558,'Investment Analysis'!$M$22:$M$69)</f>
        <v>0</v>
      </c>
      <c r="F560" s="367" t="s">
        <v>673</v>
      </c>
      <c r="G560" s="367" t="str">
        <f t="shared" si="197"/>
        <v>Inv. Analysis - Interest Rate Risk - Mortgage Backed Securities-Commercial</v>
      </c>
      <c r="H560" s="368" t="e">
        <f>+H$2</f>
        <v>#N/A</v>
      </c>
      <c r="I560" s="368" t="str">
        <f t="shared" si="195"/>
        <v>Jun</v>
      </c>
      <c r="J560" s="367" t="str">
        <f>+J$2</f>
        <v>FY25</v>
      </c>
      <c r="K560" s="367" t="str">
        <f t="shared" si="198"/>
        <v>FCCS_Other Data</v>
      </c>
      <c r="L560" s="367" t="str">
        <f t="shared" si="198"/>
        <v>FCCS_No Intercompany</v>
      </c>
      <c r="M560" s="367" t="str">
        <f>+M$1</f>
        <v>No Custom1</v>
      </c>
      <c r="N560" s="367" t="str">
        <f t="shared" si="198"/>
        <v>No Custom2</v>
      </c>
      <c r="O560" s="367" t="s">
        <v>723</v>
      </c>
      <c r="P560" s="367" t="s">
        <v>876</v>
      </c>
      <c r="Q560" s="367" t="str">
        <f t="shared" si="196"/>
        <v>FCCS_ClosingBalance_Input</v>
      </c>
      <c r="R560" s="367" t="str">
        <f t="shared" si="199"/>
        <v>Actual</v>
      </c>
      <c r="S560" s="367" t="str">
        <f t="shared" si="199"/>
        <v>FCCS_YTD_Input</v>
      </c>
      <c r="T560" s="367" t="s">
        <v>850</v>
      </c>
    </row>
    <row r="561" spans="2:20" x14ac:dyDescent="0.3">
      <c r="B561" s="364" t="s">
        <v>668</v>
      </c>
      <c r="C561" s="364" t="s">
        <v>966</v>
      </c>
      <c r="D561" s="366" t="str">
        <f>[2]!HsSetValue(E561,"FCC","Scenario#"&amp;R561&amp;";Years#"&amp;J561&amp;";Period#"&amp;I561&amp;";View#"&amp;S561&amp;";Entity#"&amp;H561&amp;";Data Source#"&amp;K561&amp;";Account#"&amp;F561&amp;";Intercompany#"&amp;L561&amp;";Movement#"&amp;Q561&amp;";Consolidation#"&amp;T561&amp;";Custom1#"&amp;M561&amp;";Custom2#"&amp;N561&amp;";Custom3#"&amp;O561&amp;";Custom4#"&amp;P561&amp;"")</f>
        <v>#Invalid Syntax</v>
      </c>
      <c r="E561" s="366">
        <f>SUMIF('Investment Analysis'!$E$22:$E$69,'FCC Investments - Load Tab'!C561,'Investment Analysis'!$N$22:$N$69)</f>
        <v>0</v>
      </c>
      <c r="F561" s="367" t="s">
        <v>673</v>
      </c>
      <c r="G561" s="367" t="str">
        <f t="shared" si="197"/>
        <v>Inv. Analysis - Interest Rate Risk - Mortgage Backed Securities-Commercial</v>
      </c>
      <c r="H561" s="368" t="e">
        <f>+H$2</f>
        <v>#N/A</v>
      </c>
      <c r="I561" s="368" t="str">
        <f t="shared" si="195"/>
        <v>Jun</v>
      </c>
      <c r="J561" s="367" t="str">
        <f>+J$2</f>
        <v>FY25</v>
      </c>
      <c r="K561" s="367" t="str">
        <f t="shared" si="198"/>
        <v>FCCS_Other Data</v>
      </c>
      <c r="L561" s="367" t="str">
        <f t="shared" si="198"/>
        <v>FCCS_No Intercompany</v>
      </c>
      <c r="M561" s="367" t="str">
        <f>+M$1</f>
        <v>No Custom1</v>
      </c>
      <c r="N561" s="367" t="str">
        <f t="shared" si="198"/>
        <v>No Custom2</v>
      </c>
      <c r="O561" s="367" t="s">
        <v>724</v>
      </c>
      <c r="P561" s="367" t="s">
        <v>876</v>
      </c>
      <c r="Q561" s="367" t="str">
        <f t="shared" si="196"/>
        <v>FCCS_ClosingBalance_Input</v>
      </c>
      <c r="R561" s="367" t="str">
        <f t="shared" si="199"/>
        <v>Actual</v>
      </c>
      <c r="S561" s="367" t="str">
        <f t="shared" si="199"/>
        <v>FCCS_YTD_Input</v>
      </c>
      <c r="T561" s="367" t="s">
        <v>850</v>
      </c>
    </row>
    <row r="562" spans="2:20" x14ac:dyDescent="0.3">
      <c r="B562" s="364" t="s">
        <v>668</v>
      </c>
      <c r="C562" s="364" t="s">
        <v>966</v>
      </c>
      <c r="D562" s="366" t="str">
        <f>[2]!HsSetValue(E562,"FCC","Scenario#"&amp;R562&amp;";Years#"&amp;J562&amp;";Period#"&amp;I562&amp;";View#"&amp;S562&amp;";Entity#"&amp;H562&amp;";Data Source#"&amp;K562&amp;";Account#"&amp;F562&amp;";Intercompany#"&amp;L562&amp;";Movement#"&amp;Q562&amp;";Consolidation#"&amp;T562&amp;";Custom1#"&amp;M562&amp;";Custom2#"&amp;N562&amp;";Custom3#"&amp;O562&amp;";Custom4#"&amp;P562&amp;"")</f>
        <v>#Invalid Syntax</v>
      </c>
      <c r="E562" s="366">
        <f>SUMIF('Investment Analysis'!$E$2:$E$69,'FCC Investments - Load Tab'!C562,'Investment Analysis'!$O$2:$O$69)</f>
        <v>0</v>
      </c>
      <c r="F562" s="367" t="s">
        <v>673</v>
      </c>
      <c r="G562" s="367" t="str">
        <f t="shared" si="197"/>
        <v>Inv. Analysis - Interest Rate Risk - Mortgage Backed Securities-Commercial</v>
      </c>
      <c r="H562" s="368" t="e">
        <f>+H$2</f>
        <v>#N/A</v>
      </c>
      <c r="I562" s="368" t="str">
        <f t="shared" si="195"/>
        <v>Jun</v>
      </c>
      <c r="J562" s="367" t="str">
        <f>+J$2</f>
        <v>FY25</v>
      </c>
      <c r="K562" s="367" t="str">
        <f t="shared" si="198"/>
        <v>FCCS_Other Data</v>
      </c>
      <c r="L562" s="367" t="str">
        <f t="shared" si="198"/>
        <v>FCCS_No Intercompany</v>
      </c>
      <c r="M562" s="367" t="str">
        <f>+M$1</f>
        <v>No Custom1</v>
      </c>
      <c r="N562" s="367" t="str">
        <f t="shared" si="198"/>
        <v>No Custom2</v>
      </c>
      <c r="O562" s="367" t="s">
        <v>725</v>
      </c>
      <c r="P562" s="367" t="s">
        <v>876</v>
      </c>
      <c r="Q562" s="367" t="str">
        <f t="shared" si="196"/>
        <v>FCCS_ClosingBalance_Input</v>
      </c>
      <c r="R562" s="367" t="str">
        <f t="shared" si="199"/>
        <v>Actual</v>
      </c>
      <c r="S562" s="367" t="str">
        <f t="shared" si="199"/>
        <v>FCCS_YTD_Input</v>
      </c>
      <c r="T562" s="367" t="s">
        <v>850</v>
      </c>
    </row>
    <row r="563" spans="2:20" ht="16.5" customHeight="1" x14ac:dyDescent="0.3">
      <c r="B563" s="210"/>
      <c r="C563" s="210"/>
      <c r="D563" s="212"/>
      <c r="E563" s="212"/>
    </row>
    <row r="564" spans="2:20" x14ac:dyDescent="0.3">
      <c r="B564" s="214" t="s">
        <v>667</v>
      </c>
      <c r="C564" s="214" t="s">
        <v>966</v>
      </c>
      <c r="D564" s="216" t="str">
        <f>[2]!HsSetValue(E564,"FCC","Scenario#"&amp;R564&amp;";Years#"&amp;J564&amp;";Period#"&amp;I564&amp;";View#"&amp;S564&amp;";Entity#"&amp;H564&amp;";Data Source#"&amp;K564&amp;";Account#"&amp;F564&amp;";Intercompany#"&amp;L564&amp;";Movement#"&amp;Q564&amp;";Consolidation#"&amp;T564&amp;";Custom1#"&amp;M564&amp;";Custom2#"&amp;N564&amp;";Custom3#"&amp;O564&amp;";Custom4#"&amp;P564&amp;"")</f>
        <v>#Invalid Syntax</v>
      </c>
      <c r="E564" s="216">
        <f>SUMIFS('Investment Analysis'!$H$22:$H$69,'Investment Analysis'!$E$22:$E$69,"Mortgage Backed Securities-Commercial",'Investment Analysis'!$AB$22:$AB$69,"10")</f>
        <v>0</v>
      </c>
      <c r="F564" s="217" t="s">
        <v>674</v>
      </c>
      <c r="G564" s="217" t="str">
        <f t="shared" ref="G564:G577" si="200">"Inv. Analysis - Credit Quality Risk - "&amp;C564</f>
        <v>Inv. Analysis - Credit Quality Risk - Mortgage Backed Securities-Commercial</v>
      </c>
      <c r="H564" s="218" t="e">
        <f t="shared" ref="H564:N577" si="201">+H$2</f>
        <v>#N/A</v>
      </c>
      <c r="I564" s="218" t="str">
        <f t="shared" si="201"/>
        <v>Jun</v>
      </c>
      <c r="J564" s="217" t="str">
        <f t="shared" si="201"/>
        <v>FY25</v>
      </c>
      <c r="K564" s="217" t="str">
        <f t="shared" si="201"/>
        <v>FCCS_Other Data</v>
      </c>
      <c r="L564" s="217" t="str">
        <f t="shared" si="201"/>
        <v>FCCS_No Intercompany</v>
      </c>
      <c r="M564" s="217" t="str">
        <f t="shared" ref="M564:M577" si="202">+M$1</f>
        <v>No Custom1</v>
      </c>
      <c r="N564" s="217" t="str">
        <f t="shared" si="201"/>
        <v>No Custom2</v>
      </c>
      <c r="O564" s="217" t="s">
        <v>433</v>
      </c>
      <c r="P564" s="217" t="s">
        <v>876</v>
      </c>
      <c r="Q564" s="217" t="str">
        <f t="shared" ref="Q564:Q577" si="203">Q$2</f>
        <v>FCCS_ClosingBalance_Input</v>
      </c>
      <c r="R564" s="217" t="str">
        <f t="shared" ref="R564:S577" si="204">+R$2</f>
        <v>Actual</v>
      </c>
      <c r="S564" s="217" t="str">
        <f t="shared" si="204"/>
        <v>FCCS_YTD_Input</v>
      </c>
      <c r="T564" s="217" t="s">
        <v>850</v>
      </c>
    </row>
    <row r="565" spans="2:20" x14ac:dyDescent="0.3">
      <c r="B565" s="214" t="s">
        <v>667</v>
      </c>
      <c r="C565" s="214" t="s">
        <v>966</v>
      </c>
      <c r="D565" s="216" t="str">
        <f>[2]!HsSetValue(E565,"FCC","Scenario#"&amp;R565&amp;";Years#"&amp;J565&amp;";Period#"&amp;I565&amp;";View#"&amp;S565&amp;";Entity#"&amp;H565&amp;";Data Source#"&amp;K565&amp;";Account#"&amp;F565&amp;";Intercompany#"&amp;L565&amp;";Movement#"&amp;Q565&amp;";Consolidation#"&amp;T565&amp;";Custom1#"&amp;M565&amp;";Custom2#"&amp;N565&amp;";Custom3#"&amp;O565&amp;";Custom4#"&amp;P565&amp;"")</f>
        <v>#Invalid Syntax</v>
      </c>
      <c r="E565" s="216">
        <f>SUMIFS('Investment Analysis'!$H$22:$H$69,'Investment Analysis'!$E$22:$E$69,"Mortgage Backed Securities-Commercial",'Investment Analysis'!$AB$22:$AB$69,"9")</f>
        <v>0</v>
      </c>
      <c r="F565" s="217" t="s">
        <v>674</v>
      </c>
      <c r="G565" s="217" t="str">
        <f t="shared" si="200"/>
        <v>Inv. Analysis - Credit Quality Risk - Mortgage Backed Securities-Commercial</v>
      </c>
      <c r="H565" s="218" t="e">
        <f t="shared" si="201"/>
        <v>#N/A</v>
      </c>
      <c r="I565" s="218" t="str">
        <f t="shared" si="201"/>
        <v>Jun</v>
      </c>
      <c r="J565" s="217" t="str">
        <f t="shared" si="201"/>
        <v>FY25</v>
      </c>
      <c r="K565" s="217" t="str">
        <f t="shared" si="201"/>
        <v>FCCS_Other Data</v>
      </c>
      <c r="L565" s="217" t="str">
        <f t="shared" si="201"/>
        <v>FCCS_No Intercompany</v>
      </c>
      <c r="M565" s="217" t="str">
        <f t="shared" si="202"/>
        <v>No Custom1</v>
      </c>
      <c r="N565" s="217" t="str">
        <f t="shared" si="201"/>
        <v>No Custom2</v>
      </c>
      <c r="O565" s="217" t="s">
        <v>596</v>
      </c>
      <c r="P565" s="217" t="s">
        <v>876</v>
      </c>
      <c r="Q565" s="217" t="str">
        <f t="shared" si="203"/>
        <v>FCCS_ClosingBalance_Input</v>
      </c>
      <c r="R565" s="217" t="str">
        <f t="shared" si="204"/>
        <v>Actual</v>
      </c>
      <c r="S565" s="217" t="str">
        <f t="shared" si="204"/>
        <v>FCCS_YTD_Input</v>
      </c>
      <c r="T565" s="217" t="s">
        <v>850</v>
      </c>
    </row>
    <row r="566" spans="2:20" x14ac:dyDescent="0.3">
      <c r="B566" s="214" t="s">
        <v>667</v>
      </c>
      <c r="C566" s="214" t="s">
        <v>966</v>
      </c>
      <c r="D566" s="216" t="str">
        <f>[2]!HsSetValue(E566,"FCC","Scenario#"&amp;R566&amp;";Years#"&amp;J566&amp;";Period#"&amp;I566&amp;";View#"&amp;S566&amp;";Entity#"&amp;H566&amp;";Data Source#"&amp;K566&amp;";Account#"&amp;F566&amp;";Intercompany#"&amp;L566&amp;";Movement#"&amp;Q566&amp;";Consolidation#"&amp;T566&amp;";Custom1#"&amp;M566&amp;";Custom2#"&amp;N566&amp;";Custom3#"&amp;O566&amp;";Custom4#"&amp;P566&amp;"")</f>
        <v>#Invalid Syntax</v>
      </c>
      <c r="E566" s="216">
        <f>SUMIFS('Investment Analysis'!$H$22:$H$69,'Investment Analysis'!$E$22:$E$69,"Mortgage Backed Securities-Commercial",'Investment Analysis'!$AB$22:$AB$69,"8")</f>
        <v>0</v>
      </c>
      <c r="F566" s="217" t="s">
        <v>674</v>
      </c>
      <c r="G566" s="217" t="str">
        <f t="shared" si="200"/>
        <v>Inv. Analysis - Credit Quality Risk - Mortgage Backed Securities-Commercial</v>
      </c>
      <c r="H566" s="218" t="e">
        <f t="shared" si="201"/>
        <v>#N/A</v>
      </c>
      <c r="I566" s="218" t="str">
        <f t="shared" si="201"/>
        <v>Jun</v>
      </c>
      <c r="J566" s="217" t="str">
        <f t="shared" si="201"/>
        <v>FY25</v>
      </c>
      <c r="K566" s="217" t="str">
        <f t="shared" si="201"/>
        <v>FCCS_Other Data</v>
      </c>
      <c r="L566" s="217" t="str">
        <f t="shared" si="201"/>
        <v>FCCS_No Intercompany</v>
      </c>
      <c r="M566" s="217" t="str">
        <f t="shared" si="202"/>
        <v>No Custom1</v>
      </c>
      <c r="N566" s="217" t="str">
        <f t="shared" si="201"/>
        <v>No Custom2</v>
      </c>
      <c r="O566" s="217" t="s">
        <v>61</v>
      </c>
      <c r="P566" s="217" t="s">
        <v>876</v>
      </c>
      <c r="Q566" s="217" t="str">
        <f t="shared" si="203"/>
        <v>FCCS_ClosingBalance_Input</v>
      </c>
      <c r="R566" s="217" t="str">
        <f t="shared" si="204"/>
        <v>Actual</v>
      </c>
      <c r="S566" s="217" t="str">
        <f t="shared" si="204"/>
        <v>FCCS_YTD_Input</v>
      </c>
      <c r="T566" s="217" t="s">
        <v>850</v>
      </c>
    </row>
    <row r="567" spans="2:20" x14ac:dyDescent="0.3">
      <c r="B567" s="214" t="s">
        <v>667</v>
      </c>
      <c r="C567" s="214" t="s">
        <v>966</v>
      </c>
      <c r="D567" s="216" t="str">
        <f>[2]!HsSetValue(E567,"FCC","Scenario#"&amp;R567&amp;";Years#"&amp;J567&amp;";Period#"&amp;I567&amp;";View#"&amp;S567&amp;";Entity#"&amp;H567&amp;";Data Source#"&amp;K567&amp;";Account#"&amp;F567&amp;";Intercompany#"&amp;L567&amp;";Movement#"&amp;Q567&amp;";Consolidation#"&amp;T567&amp;";Custom1#"&amp;M567&amp;";Custom2#"&amp;N567&amp;";Custom3#"&amp;O567&amp;";Custom4#"&amp;P567&amp;"")</f>
        <v>#Invalid Syntax</v>
      </c>
      <c r="E567" s="216">
        <f>SUMIFS('Investment Analysis'!$H$22:$H$69,'Investment Analysis'!$E$22:$E$69,"Mortgage Backed Securities-Commercial",'Investment Analysis'!$AB$22:$AB$69,"7")</f>
        <v>0</v>
      </c>
      <c r="F567" s="217" t="s">
        <v>674</v>
      </c>
      <c r="G567" s="217" t="str">
        <f t="shared" si="200"/>
        <v>Inv. Analysis - Credit Quality Risk - Mortgage Backed Securities-Commercial</v>
      </c>
      <c r="H567" s="218" t="e">
        <f t="shared" si="201"/>
        <v>#N/A</v>
      </c>
      <c r="I567" s="218" t="str">
        <f t="shared" si="201"/>
        <v>Jun</v>
      </c>
      <c r="J567" s="217" t="str">
        <f t="shared" si="201"/>
        <v>FY25</v>
      </c>
      <c r="K567" s="217" t="str">
        <f t="shared" si="201"/>
        <v>FCCS_Other Data</v>
      </c>
      <c r="L567" s="217" t="str">
        <f t="shared" si="201"/>
        <v>FCCS_No Intercompany</v>
      </c>
      <c r="M567" s="217" t="str">
        <f t="shared" si="202"/>
        <v>No Custom1</v>
      </c>
      <c r="N567" s="217" t="str">
        <f t="shared" si="201"/>
        <v>No Custom2</v>
      </c>
      <c r="O567" s="217" t="s">
        <v>62</v>
      </c>
      <c r="P567" s="217" t="s">
        <v>876</v>
      </c>
      <c r="Q567" s="217" t="str">
        <f t="shared" si="203"/>
        <v>FCCS_ClosingBalance_Input</v>
      </c>
      <c r="R567" s="217" t="str">
        <f t="shared" si="204"/>
        <v>Actual</v>
      </c>
      <c r="S567" s="217" t="str">
        <f t="shared" si="204"/>
        <v>FCCS_YTD_Input</v>
      </c>
      <c r="T567" s="217" t="s">
        <v>850</v>
      </c>
    </row>
    <row r="568" spans="2:20" x14ac:dyDescent="0.3">
      <c r="B568" s="214" t="s">
        <v>667</v>
      </c>
      <c r="C568" s="214" t="s">
        <v>966</v>
      </c>
      <c r="D568" s="216" t="str">
        <f>[2]!HsSetValue(E568,"FCC","Scenario#"&amp;R568&amp;";Years#"&amp;J568&amp;";Period#"&amp;I568&amp;";View#"&amp;S568&amp;";Entity#"&amp;H568&amp;";Data Source#"&amp;K568&amp;";Account#"&amp;F568&amp;";Intercompany#"&amp;L568&amp;";Movement#"&amp;Q568&amp;";Consolidation#"&amp;T568&amp;";Custom1#"&amp;M568&amp;";Custom2#"&amp;N568&amp;";Custom3#"&amp;O568&amp;";Custom4#"&amp;P568&amp;"")</f>
        <v>#Invalid Syntax</v>
      </c>
      <c r="E568" s="216">
        <f>SUMIFS('Investment Analysis'!$H$22:$H$69,'Investment Analysis'!$E$22:$E$69,"Mortgage Backed Securities-Commercial",'Investment Analysis'!$AB$22:$AB$69,"6")</f>
        <v>0</v>
      </c>
      <c r="F568" s="217" t="s">
        <v>674</v>
      </c>
      <c r="G568" s="217" t="str">
        <f t="shared" si="200"/>
        <v>Inv. Analysis - Credit Quality Risk - Mortgage Backed Securities-Commercial</v>
      </c>
      <c r="H568" s="218" t="e">
        <f t="shared" si="201"/>
        <v>#N/A</v>
      </c>
      <c r="I568" s="218" t="str">
        <f t="shared" si="201"/>
        <v>Jun</v>
      </c>
      <c r="J568" s="217" t="str">
        <f t="shared" si="201"/>
        <v>FY25</v>
      </c>
      <c r="K568" s="217" t="str">
        <f t="shared" si="201"/>
        <v>FCCS_Other Data</v>
      </c>
      <c r="L568" s="217" t="str">
        <f t="shared" si="201"/>
        <v>FCCS_No Intercompany</v>
      </c>
      <c r="M568" s="217" t="str">
        <f t="shared" si="202"/>
        <v>No Custom1</v>
      </c>
      <c r="N568" s="217" t="str">
        <f t="shared" si="201"/>
        <v>No Custom2</v>
      </c>
      <c r="O568" s="217" t="s">
        <v>436</v>
      </c>
      <c r="P568" s="217" t="s">
        <v>876</v>
      </c>
      <c r="Q568" s="217" t="str">
        <f t="shared" si="203"/>
        <v>FCCS_ClosingBalance_Input</v>
      </c>
      <c r="R568" s="217" t="str">
        <f t="shared" si="204"/>
        <v>Actual</v>
      </c>
      <c r="S568" s="217" t="str">
        <f t="shared" si="204"/>
        <v>FCCS_YTD_Input</v>
      </c>
      <c r="T568" s="217" t="s">
        <v>850</v>
      </c>
    </row>
    <row r="569" spans="2:20" s="371" customFormat="1" x14ac:dyDescent="0.3">
      <c r="B569" s="214" t="s">
        <v>667</v>
      </c>
      <c r="C569" s="214" t="s">
        <v>966</v>
      </c>
      <c r="D569" s="216" t="str">
        <f>[2]!HsSetValue(E569,"FCC","Scenario#"&amp;R569&amp;";Years#"&amp;J569&amp;";Period#"&amp;I569&amp;";View#"&amp;S569&amp;";Entity#"&amp;H569&amp;";Data Source#"&amp;K569&amp;";Account#"&amp;F569&amp;";Intercompany#"&amp;L569&amp;";Movement#"&amp;Q569&amp;";Consolidation#"&amp;T569&amp;";Custom1#"&amp;M569&amp;";Custom2#"&amp;N569&amp;";Custom3#"&amp;O569&amp;";Custom4#"&amp;P569&amp;"")</f>
        <v>#Invalid Syntax</v>
      </c>
      <c r="E569" s="216">
        <f>SUMIFS('Investment Analysis'!$H$22:$H$69,'Investment Analysis'!$E$22:$E$69,"Mortgage Backed Securities-Commercial",'Investment Analysis'!$AB$22:$AB$69,"5")</f>
        <v>0</v>
      </c>
      <c r="F569" s="217" t="s">
        <v>674</v>
      </c>
      <c r="G569" s="217" t="str">
        <f t="shared" si="200"/>
        <v>Inv. Analysis - Credit Quality Risk - Mortgage Backed Securities-Commercial</v>
      </c>
      <c r="H569" s="218" t="e">
        <f t="shared" si="201"/>
        <v>#N/A</v>
      </c>
      <c r="I569" s="218" t="str">
        <f t="shared" si="201"/>
        <v>Jun</v>
      </c>
      <c r="J569" s="217" t="str">
        <f t="shared" si="201"/>
        <v>FY25</v>
      </c>
      <c r="K569" s="217" t="str">
        <f t="shared" si="201"/>
        <v>FCCS_Other Data</v>
      </c>
      <c r="L569" s="217" t="str">
        <f t="shared" si="201"/>
        <v>FCCS_No Intercompany</v>
      </c>
      <c r="M569" s="217" t="str">
        <f t="shared" si="202"/>
        <v>No Custom1</v>
      </c>
      <c r="N569" s="217" t="str">
        <f t="shared" si="201"/>
        <v>No Custom2</v>
      </c>
      <c r="O569" s="217" t="s">
        <v>434</v>
      </c>
      <c r="P569" s="217" t="s">
        <v>876</v>
      </c>
      <c r="Q569" s="217" t="str">
        <f t="shared" si="203"/>
        <v>FCCS_ClosingBalance_Input</v>
      </c>
      <c r="R569" s="217" t="str">
        <f t="shared" si="204"/>
        <v>Actual</v>
      </c>
      <c r="S569" s="217" t="str">
        <f t="shared" si="204"/>
        <v>FCCS_YTD_Input</v>
      </c>
      <c r="T569" s="217" t="s">
        <v>850</v>
      </c>
    </row>
    <row r="570" spans="2:20" s="371" customFormat="1" x14ac:dyDescent="0.3">
      <c r="B570" s="214" t="s">
        <v>667</v>
      </c>
      <c r="C570" s="214" t="s">
        <v>966</v>
      </c>
      <c r="D570" s="216" t="str">
        <f>[2]!HsSetValue(E570,"FCC","Scenario#"&amp;R570&amp;";Years#"&amp;J570&amp;";Period#"&amp;I570&amp;";View#"&amp;S570&amp;";Entity#"&amp;H570&amp;";Data Source#"&amp;K570&amp;";Account#"&amp;F570&amp;";Intercompany#"&amp;L570&amp;";Movement#"&amp;Q570&amp;";Consolidation#"&amp;T570&amp;";Custom1#"&amp;M570&amp;";Custom2#"&amp;N570&amp;";Custom3#"&amp;O570&amp;";Custom4#"&amp;P570&amp;"")</f>
        <v>#Invalid Syntax</v>
      </c>
      <c r="E570" s="216">
        <f>SUMIFS('Investment Analysis'!$H$22:$H$69,'Investment Analysis'!$E$22:$E$69,"Mortgage Backed Securities-Commercial",'Investment Analysis'!$AB$22:$AB$69,"4")</f>
        <v>0</v>
      </c>
      <c r="F570" s="217" t="s">
        <v>674</v>
      </c>
      <c r="G570" s="217" t="str">
        <f t="shared" si="200"/>
        <v>Inv. Analysis - Credit Quality Risk - Mortgage Backed Securities-Commercial</v>
      </c>
      <c r="H570" s="218" t="e">
        <f t="shared" si="201"/>
        <v>#N/A</v>
      </c>
      <c r="I570" s="218" t="str">
        <f t="shared" si="201"/>
        <v>Jun</v>
      </c>
      <c r="J570" s="217" t="str">
        <f t="shared" si="201"/>
        <v>FY25</v>
      </c>
      <c r="K570" s="217" t="str">
        <f t="shared" si="201"/>
        <v>FCCS_Other Data</v>
      </c>
      <c r="L570" s="217" t="str">
        <f t="shared" si="201"/>
        <v>FCCS_No Intercompany</v>
      </c>
      <c r="M570" s="217" t="str">
        <f t="shared" si="202"/>
        <v>No Custom1</v>
      </c>
      <c r="N570" s="217" t="str">
        <f t="shared" si="201"/>
        <v>No Custom2</v>
      </c>
      <c r="O570" s="217" t="s">
        <v>63</v>
      </c>
      <c r="P570" s="217" t="s">
        <v>876</v>
      </c>
      <c r="Q570" s="217" t="str">
        <f t="shared" si="203"/>
        <v>FCCS_ClosingBalance_Input</v>
      </c>
      <c r="R570" s="217" t="str">
        <f t="shared" si="204"/>
        <v>Actual</v>
      </c>
      <c r="S570" s="217" t="str">
        <f t="shared" si="204"/>
        <v>FCCS_YTD_Input</v>
      </c>
      <c r="T570" s="217" t="s">
        <v>850</v>
      </c>
    </row>
    <row r="571" spans="2:20" s="371" customFormat="1" x14ac:dyDescent="0.3">
      <c r="B571" s="214" t="s">
        <v>667</v>
      </c>
      <c r="C571" s="214" t="s">
        <v>966</v>
      </c>
      <c r="D571" s="216" t="str">
        <f>[2]!HsSetValue(E571,"FCC","Scenario#"&amp;R571&amp;";Years#"&amp;J571&amp;";Period#"&amp;I571&amp;";View#"&amp;S571&amp;";Entity#"&amp;H571&amp;";Data Source#"&amp;K571&amp;";Account#"&amp;F571&amp;";Intercompany#"&amp;L571&amp;";Movement#"&amp;Q571&amp;";Consolidation#"&amp;T571&amp;";Custom1#"&amp;M571&amp;";Custom2#"&amp;N571&amp;";Custom3#"&amp;O571&amp;";Custom4#"&amp;P571&amp;"")</f>
        <v>#Invalid Syntax</v>
      </c>
      <c r="E571" s="216">
        <f>SUMIFS('Investment Analysis'!$H$22:$H$69,'Investment Analysis'!$E$22:$E$69,"Mortgage Backed Securities-Commercial",'Investment Analysis'!$AB$22:$AB$69,"3")</f>
        <v>0</v>
      </c>
      <c r="F571" s="217" t="s">
        <v>674</v>
      </c>
      <c r="G571" s="217" t="str">
        <f t="shared" si="200"/>
        <v>Inv. Analysis - Credit Quality Risk - Mortgage Backed Securities-Commercial</v>
      </c>
      <c r="H571" s="218" t="e">
        <f t="shared" si="201"/>
        <v>#N/A</v>
      </c>
      <c r="I571" s="218" t="str">
        <f t="shared" si="201"/>
        <v>Jun</v>
      </c>
      <c r="J571" s="217" t="str">
        <f t="shared" si="201"/>
        <v>FY25</v>
      </c>
      <c r="K571" s="217" t="str">
        <f t="shared" si="201"/>
        <v>FCCS_Other Data</v>
      </c>
      <c r="L571" s="217" t="str">
        <f t="shared" si="201"/>
        <v>FCCS_No Intercompany</v>
      </c>
      <c r="M571" s="217" t="str">
        <f t="shared" si="202"/>
        <v>No Custom1</v>
      </c>
      <c r="N571" s="217" t="str">
        <f t="shared" si="201"/>
        <v>No Custom2</v>
      </c>
      <c r="O571" s="217" t="s">
        <v>622</v>
      </c>
      <c r="P571" s="217" t="s">
        <v>876</v>
      </c>
      <c r="Q571" s="217" t="str">
        <f t="shared" si="203"/>
        <v>FCCS_ClosingBalance_Input</v>
      </c>
      <c r="R571" s="217" t="str">
        <f t="shared" si="204"/>
        <v>Actual</v>
      </c>
      <c r="S571" s="217" t="str">
        <f t="shared" si="204"/>
        <v>FCCS_YTD_Input</v>
      </c>
      <c r="T571" s="217" t="s">
        <v>850</v>
      </c>
    </row>
    <row r="572" spans="2:20" s="371" customFormat="1" x14ac:dyDescent="0.3">
      <c r="B572" s="214" t="s">
        <v>667</v>
      </c>
      <c r="C572" s="214" t="s">
        <v>966</v>
      </c>
      <c r="D572" s="216" t="str">
        <f>[2]!HsSetValue(E572,"FCC","Scenario#"&amp;R572&amp;";Years#"&amp;J572&amp;";Period#"&amp;I572&amp;";View#"&amp;S572&amp;";Entity#"&amp;H572&amp;";Data Source#"&amp;K572&amp;";Account#"&amp;F572&amp;";Intercompany#"&amp;L572&amp;";Movement#"&amp;Q572&amp;";Consolidation#"&amp;T572&amp;";Custom1#"&amp;M572&amp;";Custom2#"&amp;N572&amp;";Custom3#"&amp;O572&amp;";Custom4#"&amp;P572&amp;"")</f>
        <v>#Invalid Syntax</v>
      </c>
      <c r="E572" s="216">
        <f>SUMIFS('Investment Analysis'!$H$22:$H$69,'Investment Analysis'!$E$22:$E$69,"Mortgage Backed Securities-Commercial",'Investment Analysis'!$AB$22:$AB$69,"2")</f>
        <v>0</v>
      </c>
      <c r="F572" s="217" t="s">
        <v>674</v>
      </c>
      <c r="G572" s="217" t="str">
        <f t="shared" si="200"/>
        <v>Inv. Analysis - Credit Quality Risk - Mortgage Backed Securities-Commercial</v>
      </c>
      <c r="H572" s="218" t="e">
        <f t="shared" si="201"/>
        <v>#N/A</v>
      </c>
      <c r="I572" s="218" t="str">
        <f t="shared" si="201"/>
        <v>Jun</v>
      </c>
      <c r="J572" s="217" t="str">
        <f t="shared" si="201"/>
        <v>FY25</v>
      </c>
      <c r="K572" s="217" t="str">
        <f t="shared" si="201"/>
        <v>FCCS_Other Data</v>
      </c>
      <c r="L572" s="217" t="str">
        <f t="shared" si="201"/>
        <v>FCCS_No Intercompany</v>
      </c>
      <c r="M572" s="217" t="str">
        <f t="shared" si="202"/>
        <v>No Custom1</v>
      </c>
      <c r="N572" s="217" t="str">
        <f t="shared" si="201"/>
        <v>No Custom2</v>
      </c>
      <c r="O572" s="217" t="s">
        <v>618</v>
      </c>
      <c r="P572" s="217" t="s">
        <v>876</v>
      </c>
      <c r="Q572" s="217" t="str">
        <f t="shared" si="203"/>
        <v>FCCS_ClosingBalance_Input</v>
      </c>
      <c r="R572" s="217" t="str">
        <f t="shared" si="204"/>
        <v>Actual</v>
      </c>
      <c r="S572" s="217" t="str">
        <f t="shared" si="204"/>
        <v>FCCS_YTD_Input</v>
      </c>
      <c r="T572" s="217" t="s">
        <v>850</v>
      </c>
    </row>
    <row r="573" spans="2:20" s="371" customFormat="1" x14ac:dyDescent="0.3">
      <c r="B573" s="214" t="s">
        <v>667</v>
      </c>
      <c r="C573" s="214" t="s">
        <v>966</v>
      </c>
      <c r="D573" s="216" t="str">
        <f>[2]!HsSetValue(E573,"FCC","Scenario#"&amp;R573&amp;";Years#"&amp;J573&amp;";Period#"&amp;I573&amp;";View#"&amp;S573&amp;";Entity#"&amp;H573&amp;";Data Source#"&amp;K573&amp;";Account#"&amp;F573&amp;";Intercompany#"&amp;L573&amp;";Movement#"&amp;Q573&amp;";Consolidation#"&amp;T573&amp;";Custom1#"&amp;M573&amp;";Custom2#"&amp;N573&amp;";Custom3#"&amp;O573&amp;";Custom4#"&amp;P573&amp;"")</f>
        <v>#Invalid Syntax</v>
      </c>
      <c r="E573" s="216">
        <f>SUMIFS('Investment Analysis'!$H$22:$H$69,'Investment Analysis'!$E$22:$E$69,"Mortgage Backed Securities-Commercial",'Investment Analysis'!$AB$22:$AB$69,"1")</f>
        <v>0</v>
      </c>
      <c r="F573" s="217" t="s">
        <v>674</v>
      </c>
      <c r="G573" s="217" t="str">
        <f t="shared" si="200"/>
        <v>Inv. Analysis - Credit Quality Risk - Mortgage Backed Securities-Commercial</v>
      </c>
      <c r="H573" s="218" t="e">
        <f t="shared" si="201"/>
        <v>#N/A</v>
      </c>
      <c r="I573" s="218" t="str">
        <f t="shared" si="201"/>
        <v>Jun</v>
      </c>
      <c r="J573" s="217" t="str">
        <f t="shared" si="201"/>
        <v>FY25</v>
      </c>
      <c r="K573" s="217" t="str">
        <f t="shared" si="201"/>
        <v>FCCS_Other Data</v>
      </c>
      <c r="L573" s="217" t="str">
        <f t="shared" si="201"/>
        <v>FCCS_No Intercompany</v>
      </c>
      <c r="M573" s="217" t="str">
        <f t="shared" si="202"/>
        <v>No Custom1</v>
      </c>
      <c r="N573" s="217" t="str">
        <f t="shared" si="201"/>
        <v>No Custom2</v>
      </c>
      <c r="O573" s="217" t="s">
        <v>64</v>
      </c>
      <c r="P573" s="217" t="s">
        <v>876</v>
      </c>
      <c r="Q573" s="217" t="str">
        <f t="shared" si="203"/>
        <v>FCCS_ClosingBalance_Input</v>
      </c>
      <c r="R573" s="217" t="str">
        <f t="shared" si="204"/>
        <v>Actual</v>
      </c>
      <c r="S573" s="217" t="str">
        <f t="shared" si="204"/>
        <v>FCCS_YTD_Input</v>
      </c>
      <c r="T573" s="217" t="s">
        <v>850</v>
      </c>
    </row>
    <row r="574" spans="2:20" x14ac:dyDescent="0.3">
      <c r="B574" s="214" t="s">
        <v>667</v>
      </c>
      <c r="C574" s="214" t="s">
        <v>966</v>
      </c>
      <c r="D574" s="216" t="str">
        <f>[2]!HsSetValue(E574,"FCC","Scenario#"&amp;R574&amp;";Years#"&amp;J574&amp;";Period#"&amp;I574&amp;";View#"&amp;S574&amp;";Entity#"&amp;H574&amp;";Data Source#"&amp;K574&amp;";Account#"&amp;F574&amp;";Intercompany#"&amp;L574&amp;";Movement#"&amp;Q574&amp;";Consolidation#"&amp;T574&amp;";Custom1#"&amp;M574&amp;";Custom2#"&amp;N574&amp;";Custom3#"&amp;O574&amp;";Custom4#"&amp;P574&amp;"")</f>
        <v>#Invalid Syntax</v>
      </c>
      <c r="E574" s="216">
        <f>SUMIFS('Investment Analysis'!$H$22:$H$69,'Investment Analysis'!$E$22:$E$69,"Mortgage Backed Securities-Commercial",'Investment Analysis'!$AI$22:$AI$69,"16")</f>
        <v>0</v>
      </c>
      <c r="F574" s="217" t="s">
        <v>674</v>
      </c>
      <c r="G574" s="217" t="str">
        <f t="shared" si="200"/>
        <v>Inv. Analysis - Credit Quality Risk - Mortgage Backed Securities-Commercial</v>
      </c>
      <c r="H574" s="218" t="e">
        <f t="shared" si="201"/>
        <v>#N/A</v>
      </c>
      <c r="I574" s="218" t="str">
        <f t="shared" si="201"/>
        <v>Jun</v>
      </c>
      <c r="J574" s="217" t="str">
        <f t="shared" si="201"/>
        <v>FY25</v>
      </c>
      <c r="K574" s="217" t="str">
        <f t="shared" si="201"/>
        <v>FCCS_Other Data</v>
      </c>
      <c r="L574" s="217" t="str">
        <f t="shared" si="201"/>
        <v>FCCS_No Intercompany</v>
      </c>
      <c r="M574" s="217" t="str">
        <f t="shared" si="202"/>
        <v>No Custom1</v>
      </c>
      <c r="N574" s="217" t="str">
        <f t="shared" si="201"/>
        <v>No Custom2</v>
      </c>
      <c r="O574" s="217" t="s">
        <v>726</v>
      </c>
      <c r="P574" s="217" t="s">
        <v>876</v>
      </c>
      <c r="Q574" s="217" t="str">
        <f t="shared" si="203"/>
        <v>FCCS_ClosingBalance_Input</v>
      </c>
      <c r="R574" s="217" t="str">
        <f t="shared" si="204"/>
        <v>Actual</v>
      </c>
      <c r="S574" s="217" t="str">
        <f t="shared" si="204"/>
        <v>FCCS_YTD_Input</v>
      </c>
      <c r="T574" s="217" t="s">
        <v>850</v>
      </c>
    </row>
    <row r="575" spans="2:20" x14ac:dyDescent="0.3">
      <c r="B575" s="214" t="s">
        <v>667</v>
      </c>
      <c r="C575" s="214" t="s">
        <v>966</v>
      </c>
      <c r="D575" s="216" t="str">
        <f>[2]!HsSetValue(E575,"FCC","Scenario#"&amp;R575&amp;";Years#"&amp;J575&amp;";Period#"&amp;I575&amp;";View#"&amp;S575&amp;";Entity#"&amp;H575&amp;";Data Source#"&amp;K575&amp;";Account#"&amp;F575&amp;";Intercompany#"&amp;L575&amp;";Movement#"&amp;Q575&amp;";Consolidation#"&amp;T575&amp;";Custom1#"&amp;M575&amp;";Custom2#"&amp;N575&amp;";Custom3#"&amp;O575&amp;";Custom4#"&amp;P575&amp;"")</f>
        <v>#Invalid Syntax</v>
      </c>
      <c r="E575" s="216">
        <f>SUMIFS('Investment Analysis'!$H$22:$H$69,'Investment Analysis'!$E$22:$E$69,"Mortgage Backed Securities-Commercial",'Investment Analysis'!$AI$22:$AI$69,"15")</f>
        <v>0</v>
      </c>
      <c r="F575" s="217" t="s">
        <v>674</v>
      </c>
      <c r="G575" s="217" t="str">
        <f t="shared" si="200"/>
        <v>Inv. Analysis - Credit Quality Risk - Mortgage Backed Securities-Commercial</v>
      </c>
      <c r="H575" s="218" t="e">
        <f t="shared" si="201"/>
        <v>#N/A</v>
      </c>
      <c r="I575" s="218" t="str">
        <f t="shared" si="201"/>
        <v>Jun</v>
      </c>
      <c r="J575" s="217" t="str">
        <f t="shared" si="201"/>
        <v>FY25</v>
      </c>
      <c r="K575" s="217" t="str">
        <f t="shared" si="201"/>
        <v>FCCS_Other Data</v>
      </c>
      <c r="L575" s="217" t="str">
        <f t="shared" si="201"/>
        <v>FCCS_No Intercompany</v>
      </c>
      <c r="M575" s="217" t="str">
        <f t="shared" si="202"/>
        <v>No Custom1</v>
      </c>
      <c r="N575" s="217" t="str">
        <f t="shared" si="201"/>
        <v>No Custom2</v>
      </c>
      <c r="O575" s="217" t="s">
        <v>727</v>
      </c>
      <c r="P575" s="217" t="s">
        <v>876</v>
      </c>
      <c r="Q575" s="217" t="str">
        <f t="shared" si="203"/>
        <v>FCCS_ClosingBalance_Input</v>
      </c>
      <c r="R575" s="217" t="str">
        <f t="shared" si="204"/>
        <v>Actual</v>
      </c>
      <c r="S575" s="217" t="str">
        <f t="shared" si="204"/>
        <v>FCCS_YTD_Input</v>
      </c>
      <c r="T575" s="217" t="s">
        <v>850</v>
      </c>
    </row>
    <row r="576" spans="2:20" x14ac:dyDescent="0.3">
      <c r="B576" s="214" t="s">
        <v>667</v>
      </c>
      <c r="C576" s="214" t="s">
        <v>966</v>
      </c>
      <c r="D576" s="216" t="str">
        <f>[2]!HsSetValue(E576,"FCC","Scenario#"&amp;R576&amp;";Years#"&amp;J576&amp;";Period#"&amp;I576&amp;";View#"&amp;S576&amp;";Entity#"&amp;H576&amp;";Data Source#"&amp;K576&amp;";Account#"&amp;F576&amp;";Intercompany#"&amp;L576&amp;";Movement#"&amp;Q576&amp;";Consolidation#"&amp;T576&amp;";Custom1#"&amp;M576&amp;";Custom2#"&amp;N576&amp;";Custom3#"&amp;O576&amp;";Custom4#"&amp;P576&amp;"")</f>
        <v>#Invalid Syntax</v>
      </c>
      <c r="E576" s="216">
        <f>SUMIFS('Investment Analysis'!$H$22:$H$69,'Investment Analysis'!$E$22:$E$69,"Mortgage Backed Securities-Commercial",'Investment Analysis'!$AI$22:$AI$69,"14")</f>
        <v>0</v>
      </c>
      <c r="F576" s="217" t="s">
        <v>674</v>
      </c>
      <c r="G576" s="217" t="str">
        <f t="shared" si="200"/>
        <v>Inv. Analysis - Credit Quality Risk - Mortgage Backed Securities-Commercial</v>
      </c>
      <c r="H576" s="218" t="e">
        <f t="shared" si="201"/>
        <v>#N/A</v>
      </c>
      <c r="I576" s="218" t="str">
        <f t="shared" si="201"/>
        <v>Jun</v>
      </c>
      <c r="J576" s="217" t="str">
        <f t="shared" si="201"/>
        <v>FY25</v>
      </c>
      <c r="K576" s="217" t="str">
        <f t="shared" si="201"/>
        <v>FCCS_Other Data</v>
      </c>
      <c r="L576" s="217" t="str">
        <f t="shared" si="201"/>
        <v>FCCS_No Intercompany</v>
      </c>
      <c r="M576" s="217" t="str">
        <f t="shared" si="202"/>
        <v>No Custom1</v>
      </c>
      <c r="N576" s="217" t="str">
        <f t="shared" si="201"/>
        <v>No Custom2</v>
      </c>
      <c r="O576" s="217" t="s">
        <v>728</v>
      </c>
      <c r="P576" s="217" t="s">
        <v>876</v>
      </c>
      <c r="Q576" s="217" t="str">
        <f t="shared" si="203"/>
        <v>FCCS_ClosingBalance_Input</v>
      </c>
      <c r="R576" s="217" t="str">
        <f t="shared" si="204"/>
        <v>Actual</v>
      </c>
      <c r="S576" s="217" t="str">
        <f t="shared" si="204"/>
        <v>FCCS_YTD_Input</v>
      </c>
      <c r="T576" s="217" t="s">
        <v>850</v>
      </c>
    </row>
    <row r="577" spans="2:20" x14ac:dyDescent="0.3">
      <c r="B577" s="214" t="s">
        <v>667</v>
      </c>
      <c r="C577" s="214" t="s">
        <v>966</v>
      </c>
      <c r="D577" s="216" t="str">
        <f>[2]!HsSetValue(E577,"FCC","Scenario#"&amp;R577&amp;";Years#"&amp;J577&amp;";Period#"&amp;I577&amp;";View#"&amp;S577&amp;";Entity#"&amp;H577&amp;";Data Source#"&amp;K577&amp;";Account#"&amp;F577&amp;";Intercompany#"&amp;L577&amp;";Movement#"&amp;Q577&amp;";Consolidation#"&amp;T577&amp;";Custom1#"&amp;M577&amp;";Custom2#"&amp;N577&amp;";Custom3#"&amp;O577&amp;";Custom4#"&amp;P577&amp;"")</f>
        <v>#Invalid Syntax</v>
      </c>
      <c r="E577" s="216">
        <f>SUMIFS('Investment Analysis'!$H$22:$H$69,'Investment Analysis'!$E$22:$E$69,"Mortgage Backed Securities-Commercial",'Investment Analysis'!$AB$22:$AB$69,"0")+SUMIFS('Investment Analysis'!$H$22:$H$69,'Investment Analysis'!$E$22:$E$69,"Mortgage Backed Securities-Commercial",'Investment Analysis'!$AI$22:$AI$69,"0")</f>
        <v>0</v>
      </c>
      <c r="F577" s="217" t="s">
        <v>674</v>
      </c>
      <c r="G577" s="217" t="str">
        <f t="shared" si="200"/>
        <v>Inv. Analysis - Credit Quality Risk - Mortgage Backed Securities-Commercial</v>
      </c>
      <c r="H577" s="218" t="e">
        <f t="shared" si="201"/>
        <v>#N/A</v>
      </c>
      <c r="I577" s="218" t="str">
        <f t="shared" si="201"/>
        <v>Jun</v>
      </c>
      <c r="J577" s="217" t="str">
        <f t="shared" si="201"/>
        <v>FY25</v>
      </c>
      <c r="K577" s="217" t="str">
        <f t="shared" si="201"/>
        <v>FCCS_Other Data</v>
      </c>
      <c r="L577" s="217" t="str">
        <f t="shared" si="201"/>
        <v>FCCS_No Intercompany</v>
      </c>
      <c r="M577" s="217" t="str">
        <f t="shared" si="202"/>
        <v>No Custom1</v>
      </c>
      <c r="N577" s="217" t="str">
        <f t="shared" si="201"/>
        <v>No Custom2</v>
      </c>
      <c r="O577" s="217" t="s">
        <v>609</v>
      </c>
      <c r="P577" s="217" t="s">
        <v>876</v>
      </c>
      <c r="Q577" s="217" t="str">
        <f t="shared" si="203"/>
        <v>FCCS_ClosingBalance_Input</v>
      </c>
      <c r="R577" s="217" t="str">
        <f t="shared" si="204"/>
        <v>Actual</v>
      </c>
      <c r="S577" s="217" t="str">
        <f t="shared" si="204"/>
        <v>FCCS_YTD_Input</v>
      </c>
      <c r="T577" s="217" t="s">
        <v>850</v>
      </c>
    </row>
    <row r="578" spans="2:20" x14ac:dyDescent="0.3">
      <c r="B578" s="210"/>
      <c r="C578" s="210"/>
      <c r="D578" s="212"/>
      <c r="E578" s="212"/>
    </row>
    <row r="579" spans="2:20" x14ac:dyDescent="0.3">
      <c r="B579" s="219" t="s">
        <v>1014</v>
      </c>
      <c r="C579" s="219" t="s">
        <v>966</v>
      </c>
      <c r="D579" s="221" t="str">
        <f>[2]!HsSetValue(E579,"FCC","Scenario#"&amp;R579&amp;";Years#"&amp;J579&amp;";Period#"&amp;I579&amp;";View#"&amp;S579&amp;";Entity#"&amp;H579&amp;";Data Source#"&amp;K579&amp;";Account#"&amp;F579&amp;";Intercompany#"&amp;L579&amp;";Movement#"&amp;Q579&amp;";Consolidation#"&amp;T579&amp;";Custom1#"&amp;M579&amp;";Custom2#"&amp;N579&amp;";Custom3#"&amp;O579&amp;";Custom4#"&amp;P579&amp;"")</f>
        <v>#Invalid Syntax</v>
      </c>
      <c r="E579" s="221">
        <f>SUMIFS('Investment Analysis'!$H$22:$H$69,'Investment Analysis'!$E$22:$E$69,"Mortgage Backed Securities-Commercial",'Investment Analysis'!$AK$22:$AK$69,"21")</f>
        <v>0</v>
      </c>
      <c r="F579" s="222" t="s">
        <v>675</v>
      </c>
      <c r="G579" s="222" t="str">
        <f>"Inv. Analysis -  FV Measurement - "&amp;C579</f>
        <v>Inv. Analysis -  FV Measurement - Mortgage Backed Securities-Commercial</v>
      </c>
      <c r="H579" s="223" t="e">
        <f>+H$2</f>
        <v>#N/A</v>
      </c>
      <c r="I579" s="223" t="str">
        <f t="shared" ref="I579:I583" si="205">+I$2</f>
        <v>Jun</v>
      </c>
      <c r="J579" s="222" t="str">
        <f>+J$2</f>
        <v>FY25</v>
      </c>
      <c r="K579" s="222" t="s">
        <v>843</v>
      </c>
      <c r="L579" s="222" t="s">
        <v>844</v>
      </c>
      <c r="M579" s="222" t="s">
        <v>845</v>
      </c>
      <c r="N579" s="222" t="s">
        <v>846</v>
      </c>
      <c r="O579" s="222" t="s">
        <v>729</v>
      </c>
      <c r="P579" s="222" t="s">
        <v>876</v>
      </c>
      <c r="Q579" s="222" t="str">
        <f t="shared" ref="Q579:Q583" si="206">Q$2</f>
        <v>FCCS_ClosingBalance_Input</v>
      </c>
      <c r="R579" s="222" t="s">
        <v>169</v>
      </c>
      <c r="S579" s="222" t="s">
        <v>848</v>
      </c>
      <c r="T579" s="222" t="s">
        <v>850</v>
      </c>
    </row>
    <row r="580" spans="2:20" x14ac:dyDescent="0.3">
      <c r="B580" s="219" t="s">
        <v>1014</v>
      </c>
      <c r="C580" s="219" t="s">
        <v>966</v>
      </c>
      <c r="D580" s="221" t="str">
        <f>[2]!HsSetValue(E580,"FCC","Scenario#"&amp;R580&amp;";Years#"&amp;J580&amp;";Period#"&amp;I580&amp;";View#"&amp;S580&amp;";Entity#"&amp;H580&amp;";Data Source#"&amp;K580&amp;";Account#"&amp;F580&amp;";Intercompany#"&amp;L580&amp;";Movement#"&amp;Q580&amp;";Consolidation#"&amp;T580&amp;";Custom1#"&amp;M580&amp;";Custom2#"&amp;N580&amp;";Custom3#"&amp;O580&amp;";Custom4#"&amp;P580&amp;"")</f>
        <v>#Invalid Syntax</v>
      </c>
      <c r="E580" s="221">
        <f>SUMIFS('Investment Analysis'!$H$22:$H$69,'Investment Analysis'!$E$22:$E$69,"Mortgage Backed Securities-Commercial",'Investment Analysis'!$AK$22:$AK$69,"22")</f>
        <v>0</v>
      </c>
      <c r="F580" s="222" t="s">
        <v>675</v>
      </c>
      <c r="G580" s="222" t="str">
        <f>"Inv. Analysis -  FV Measurement - "&amp;C580</f>
        <v>Inv. Analysis -  FV Measurement - Mortgage Backed Securities-Commercial</v>
      </c>
      <c r="H580" s="223" t="e">
        <f>+H$2</f>
        <v>#N/A</v>
      </c>
      <c r="I580" s="223" t="str">
        <f t="shared" si="205"/>
        <v>Jun</v>
      </c>
      <c r="J580" s="222" t="str">
        <f>+J$2</f>
        <v>FY25</v>
      </c>
      <c r="K580" s="222" t="str">
        <f t="shared" ref="K580:N583" si="207">+K$2</f>
        <v>FCCS_Other Data</v>
      </c>
      <c r="L580" s="222" t="str">
        <f t="shared" si="207"/>
        <v>FCCS_No Intercompany</v>
      </c>
      <c r="M580" s="222" t="str">
        <f>+M$1</f>
        <v>No Custom1</v>
      </c>
      <c r="N580" s="222" t="str">
        <f t="shared" si="207"/>
        <v>No Custom2</v>
      </c>
      <c r="O580" s="222" t="s">
        <v>730</v>
      </c>
      <c r="P580" s="222" t="s">
        <v>876</v>
      </c>
      <c r="Q580" s="222" t="str">
        <f t="shared" si="206"/>
        <v>FCCS_ClosingBalance_Input</v>
      </c>
      <c r="R580" s="222" t="str">
        <f t="shared" ref="R580:S583" si="208">+R$2</f>
        <v>Actual</v>
      </c>
      <c r="S580" s="222" t="str">
        <f t="shared" si="208"/>
        <v>FCCS_YTD_Input</v>
      </c>
      <c r="T580" s="222" t="s">
        <v>850</v>
      </c>
    </row>
    <row r="581" spans="2:20" x14ac:dyDescent="0.3">
      <c r="B581" s="219" t="s">
        <v>1014</v>
      </c>
      <c r="C581" s="219" t="s">
        <v>966</v>
      </c>
      <c r="D581" s="221" t="str">
        <f>[2]!HsSetValue(E581,"FCC","Scenario#"&amp;R581&amp;";Years#"&amp;J581&amp;";Period#"&amp;I581&amp;";View#"&amp;S581&amp;";Entity#"&amp;H581&amp;";Data Source#"&amp;K581&amp;";Account#"&amp;F581&amp;";Intercompany#"&amp;L581&amp;";Movement#"&amp;Q581&amp;";Consolidation#"&amp;T581&amp;";Custom1#"&amp;M581&amp;";Custom2#"&amp;N581&amp;";Custom3#"&amp;O581&amp;";Custom4#"&amp;P581&amp;"")</f>
        <v>#Invalid Syntax</v>
      </c>
      <c r="E581" s="221">
        <f>SUMIFS('Investment Analysis'!$H$22:$H$69,'Investment Analysis'!$E$22:$E$69,"Mortgage Backed Securities-Commercial",'Investment Analysis'!$AK$22:$AK$69,"23")</f>
        <v>0</v>
      </c>
      <c r="F581" s="222" t="s">
        <v>675</v>
      </c>
      <c r="G581" s="222" t="str">
        <f>"Inv. Analysis -  FV Measurement - "&amp;C581</f>
        <v>Inv. Analysis -  FV Measurement - Mortgage Backed Securities-Commercial</v>
      </c>
      <c r="H581" s="223" t="e">
        <f>+H$2</f>
        <v>#N/A</v>
      </c>
      <c r="I581" s="223" t="str">
        <f t="shared" si="205"/>
        <v>Jun</v>
      </c>
      <c r="J581" s="222" t="str">
        <f>+J$2</f>
        <v>FY25</v>
      </c>
      <c r="K581" s="222" t="str">
        <f t="shared" si="207"/>
        <v>FCCS_Other Data</v>
      </c>
      <c r="L581" s="222" t="str">
        <f t="shared" si="207"/>
        <v>FCCS_No Intercompany</v>
      </c>
      <c r="M581" s="222" t="str">
        <f>+M$1</f>
        <v>No Custom1</v>
      </c>
      <c r="N581" s="222" t="str">
        <f t="shared" si="207"/>
        <v>No Custom2</v>
      </c>
      <c r="O581" s="222" t="s">
        <v>731</v>
      </c>
      <c r="P581" s="222" t="s">
        <v>876</v>
      </c>
      <c r="Q581" s="222" t="str">
        <f t="shared" si="206"/>
        <v>FCCS_ClosingBalance_Input</v>
      </c>
      <c r="R581" s="222" t="str">
        <f t="shared" si="208"/>
        <v>Actual</v>
      </c>
      <c r="S581" s="222" t="str">
        <f t="shared" si="208"/>
        <v>FCCS_YTD_Input</v>
      </c>
      <c r="T581" s="222" t="s">
        <v>850</v>
      </c>
    </row>
    <row r="582" spans="2:20" x14ac:dyDescent="0.3">
      <c r="B582" s="219" t="s">
        <v>1014</v>
      </c>
      <c r="C582" s="219" t="s">
        <v>966</v>
      </c>
      <c r="D582" s="221" t="str">
        <f>[2]!HsSetValue(E582,"FCC","Scenario#"&amp;R582&amp;";Years#"&amp;J582&amp;";Period#"&amp;I582&amp;";View#"&amp;S582&amp;";Entity#"&amp;H582&amp;";Data Source#"&amp;K582&amp;";Account#"&amp;F582&amp;";Intercompany#"&amp;L582&amp;";Movement#"&amp;Q582&amp;";Consolidation#"&amp;T582&amp;";Custom1#"&amp;M582&amp;";Custom2#"&amp;N582&amp;";Custom3#"&amp;O582&amp;";Custom4#"&amp;P582&amp;"")</f>
        <v>#Invalid Syntax</v>
      </c>
      <c r="E582" s="221">
        <f>SUMIFS('Investment Analysis'!$H$22:$H$69,'Investment Analysis'!$E$22:$E$69,"Mortgage Backed Securities-Commercial",'Investment Analysis'!$AK$22:$AK$69,"24")</f>
        <v>0</v>
      </c>
      <c r="F582" s="222" t="s">
        <v>675</v>
      </c>
      <c r="G582" s="222" t="str">
        <f>"Inv. Analysis -  FV Measurement - "&amp;C582</f>
        <v>Inv. Analysis -  FV Measurement - Mortgage Backed Securities-Commercial</v>
      </c>
      <c r="H582" s="223" t="e">
        <f>+H$2</f>
        <v>#N/A</v>
      </c>
      <c r="I582" s="223" t="str">
        <f t="shared" si="205"/>
        <v>Jun</v>
      </c>
      <c r="J582" s="222" t="str">
        <f>+J$2</f>
        <v>FY25</v>
      </c>
      <c r="K582" s="222" t="str">
        <f t="shared" si="207"/>
        <v>FCCS_Other Data</v>
      </c>
      <c r="L582" s="222" t="str">
        <f t="shared" si="207"/>
        <v>FCCS_No Intercompany</v>
      </c>
      <c r="M582" s="222" t="str">
        <f>+M$1</f>
        <v>No Custom1</v>
      </c>
      <c r="N582" s="222" t="str">
        <f t="shared" si="207"/>
        <v>No Custom2</v>
      </c>
      <c r="O582" s="222" t="s">
        <v>732</v>
      </c>
      <c r="P582" s="222" t="s">
        <v>876</v>
      </c>
      <c r="Q582" s="222" t="str">
        <f t="shared" si="206"/>
        <v>FCCS_ClosingBalance_Input</v>
      </c>
      <c r="R582" s="222" t="str">
        <f t="shared" si="208"/>
        <v>Actual</v>
      </c>
      <c r="S582" s="222" t="str">
        <f t="shared" si="208"/>
        <v>FCCS_YTD_Input</v>
      </c>
      <c r="T582" s="222" t="s">
        <v>850</v>
      </c>
    </row>
    <row r="583" spans="2:20" x14ac:dyDescent="0.3">
      <c r="B583" s="219" t="s">
        <v>1014</v>
      </c>
      <c r="C583" s="219" t="s">
        <v>966</v>
      </c>
      <c r="D583" s="221" t="str">
        <f>[2]!HsSetValue(E583,"FCC","Scenario#"&amp;R583&amp;";Years#"&amp;J583&amp;";Period#"&amp;I583&amp;";View#"&amp;S583&amp;";Entity#"&amp;H583&amp;";Data Source#"&amp;K583&amp;";Account#"&amp;F583&amp;";Intercompany#"&amp;L583&amp;";Movement#"&amp;Q583&amp;";Consolidation#"&amp;T583&amp;";Custom1#"&amp;M583&amp;";Custom2#"&amp;N583&amp;";Custom3#"&amp;O583&amp;";Custom4#"&amp;P583&amp;"")</f>
        <v>#Invalid Syntax</v>
      </c>
      <c r="E583" s="221">
        <f>SUMIFS('Investment Analysis'!$H$22:$H$69,'Investment Analysis'!$E$22:$E$69,"Mortgage Backed Securities-Commercial",'Investment Analysis'!$AK$22:$AK$69,"25")</f>
        <v>0</v>
      </c>
      <c r="F583" s="222" t="s">
        <v>675</v>
      </c>
      <c r="G583" s="222" t="str">
        <f>"Inv. Analysis -  FV Measurement - "&amp;C583</f>
        <v>Inv. Analysis -  FV Measurement - Mortgage Backed Securities-Commercial</v>
      </c>
      <c r="H583" s="223" t="e">
        <f>+H$2</f>
        <v>#N/A</v>
      </c>
      <c r="I583" s="223" t="str">
        <f t="shared" si="205"/>
        <v>Jun</v>
      </c>
      <c r="J583" s="222" t="str">
        <f>+J$2</f>
        <v>FY25</v>
      </c>
      <c r="K583" s="222" t="str">
        <f t="shared" si="207"/>
        <v>FCCS_Other Data</v>
      </c>
      <c r="L583" s="222" t="str">
        <f t="shared" si="207"/>
        <v>FCCS_No Intercompany</v>
      </c>
      <c r="M583" s="222" t="str">
        <f>+M$1</f>
        <v>No Custom1</v>
      </c>
      <c r="N583" s="222" t="str">
        <f t="shared" si="207"/>
        <v>No Custom2</v>
      </c>
      <c r="O583" s="222" t="s">
        <v>733</v>
      </c>
      <c r="P583" s="222" t="s">
        <v>876</v>
      </c>
      <c r="Q583" s="222" t="str">
        <f t="shared" si="206"/>
        <v>FCCS_ClosingBalance_Input</v>
      </c>
      <c r="R583" s="222" t="str">
        <f t="shared" si="208"/>
        <v>Actual</v>
      </c>
      <c r="S583" s="222" t="str">
        <f t="shared" si="208"/>
        <v>FCCS_YTD_Input</v>
      </c>
      <c r="T583" s="222" t="s">
        <v>850</v>
      </c>
    </row>
    <row r="584" spans="2:20" x14ac:dyDescent="0.3">
      <c r="B584" s="210"/>
      <c r="C584" s="211"/>
      <c r="D584" s="212"/>
      <c r="E584" s="212"/>
    </row>
    <row r="585" spans="2:20" x14ac:dyDescent="0.3">
      <c r="B585" s="364" t="s">
        <v>668</v>
      </c>
      <c r="C585" s="365" t="s">
        <v>38</v>
      </c>
      <c r="D585" s="366" t="str">
        <f>[2]!HsSetValue(E585,"FCC","Scenario#"&amp;R585&amp;";Years#"&amp;J585&amp;";Period#"&amp;I585&amp;";View#"&amp;S585&amp;";Entity#"&amp;H585&amp;";Data Source#"&amp;K585&amp;";Account#"&amp;F585&amp;";Intercompany#"&amp;L585&amp;";Movement#"&amp;Q585&amp;";Consolidation#"&amp;T585&amp;";Custom1#"&amp;M585&amp;";Custom2#"&amp;N585&amp;";Custom3#"&amp;O585&amp;";Custom4#"&amp;P585&amp;"")</f>
        <v>#Invalid Syntax</v>
      </c>
      <c r="E585" s="366">
        <f>SUMIF('Investment Analysis'!$E$22:$E$69,'FCC Investments - Load Tab'!C585,'Investment Analysis'!$K$22:$K$69)</f>
        <v>0</v>
      </c>
      <c r="F585" s="367" t="s">
        <v>673</v>
      </c>
      <c r="G585" s="367" t="s">
        <v>694</v>
      </c>
      <c r="H585" s="368" t="e">
        <f>+H$2</f>
        <v>#N/A</v>
      </c>
      <c r="I585" s="368" t="str">
        <f t="shared" ref="I585:I589" si="209">+I$2</f>
        <v>Jun</v>
      </c>
      <c r="J585" s="367" t="str">
        <f t="shared" si="195"/>
        <v>FY25</v>
      </c>
      <c r="K585" s="367" t="s">
        <v>843</v>
      </c>
      <c r="L585" s="367" t="s">
        <v>844</v>
      </c>
      <c r="M585" s="367" t="s">
        <v>845</v>
      </c>
      <c r="N585" s="367" t="s">
        <v>846</v>
      </c>
      <c r="O585" s="367" t="s">
        <v>721</v>
      </c>
      <c r="P585" s="367" t="s">
        <v>575</v>
      </c>
      <c r="Q585" s="367" t="str">
        <f t="shared" ref="Q585:Q589" si="210">Q$2</f>
        <v>FCCS_ClosingBalance_Input</v>
      </c>
      <c r="R585" s="367" t="s">
        <v>169</v>
      </c>
      <c r="S585" s="367" t="s">
        <v>848</v>
      </c>
      <c r="T585" s="367" t="s">
        <v>850</v>
      </c>
    </row>
    <row r="586" spans="2:20" x14ac:dyDescent="0.3">
      <c r="B586" s="364" t="s">
        <v>668</v>
      </c>
      <c r="C586" s="365" t="s">
        <v>38</v>
      </c>
      <c r="D586" s="366" t="str">
        <f>[2]!HsSetValue(E586,"FCC","Scenario#"&amp;R586&amp;";Years#"&amp;J586&amp;";Period#"&amp;I586&amp;";View#"&amp;S586&amp;";Entity#"&amp;H586&amp;";Data Source#"&amp;K586&amp;";Account#"&amp;F586&amp;";Intercompany#"&amp;L586&amp;";Movement#"&amp;Q586&amp;";Consolidation#"&amp;T586&amp;";Custom1#"&amp;M586&amp;";Custom2#"&amp;N586&amp;";Custom3#"&amp;O586&amp;";Custom4#"&amp;P586&amp;"")</f>
        <v>#Invalid Syntax</v>
      </c>
      <c r="E586" s="366">
        <f>SUMIF('Investment Analysis'!$E$22:$E$69,'FCC Investments - Load Tab'!C585,'Investment Analysis'!$L$22:$L$69)</f>
        <v>0</v>
      </c>
      <c r="F586" s="367" t="s">
        <v>673</v>
      </c>
      <c r="G586" s="367" t="s">
        <v>694</v>
      </c>
      <c r="H586" s="368" t="e">
        <f>+H$2</f>
        <v>#N/A</v>
      </c>
      <c r="I586" s="368" t="str">
        <f t="shared" si="209"/>
        <v>Jun</v>
      </c>
      <c r="J586" s="367" t="str">
        <f t="shared" si="195"/>
        <v>FY25</v>
      </c>
      <c r="K586" s="367" t="s">
        <v>843</v>
      </c>
      <c r="L586" s="367" t="s">
        <v>844</v>
      </c>
      <c r="M586" s="367" t="s">
        <v>845</v>
      </c>
      <c r="N586" s="367" t="s">
        <v>846</v>
      </c>
      <c r="O586" s="367" t="s">
        <v>722</v>
      </c>
      <c r="P586" s="367" t="s">
        <v>575</v>
      </c>
      <c r="Q586" s="367" t="str">
        <f t="shared" si="210"/>
        <v>FCCS_ClosingBalance_Input</v>
      </c>
      <c r="R586" s="367" t="s">
        <v>169</v>
      </c>
      <c r="S586" s="367" t="s">
        <v>848</v>
      </c>
      <c r="T586" s="367" t="s">
        <v>850</v>
      </c>
    </row>
    <row r="587" spans="2:20" x14ac:dyDescent="0.3">
      <c r="B587" s="364" t="s">
        <v>668</v>
      </c>
      <c r="C587" s="365" t="s">
        <v>38</v>
      </c>
      <c r="D587" s="366" t="str">
        <f>[2]!HsSetValue(E587,"FCC","Scenario#"&amp;R587&amp;";Years#"&amp;J587&amp;";Period#"&amp;I587&amp;";View#"&amp;S587&amp;";Entity#"&amp;H587&amp;";Data Source#"&amp;K587&amp;";Account#"&amp;F587&amp;";Intercompany#"&amp;L587&amp;";Movement#"&amp;Q587&amp;";Consolidation#"&amp;T587&amp;";Custom1#"&amp;M587&amp;";Custom2#"&amp;N587&amp;";Custom3#"&amp;O587&amp;";Custom4#"&amp;P587&amp;"")</f>
        <v>#Invalid Syntax</v>
      </c>
      <c r="E587" s="366">
        <f>SUMIF('Investment Analysis'!$E$22:$E$69,'FCC Investments - Load Tab'!C585,'Investment Analysis'!$M$22:$M$69)</f>
        <v>0</v>
      </c>
      <c r="F587" s="367" t="s">
        <v>673</v>
      </c>
      <c r="G587" s="367" t="s">
        <v>694</v>
      </c>
      <c r="H587" s="368" t="e">
        <f>+H$2</f>
        <v>#N/A</v>
      </c>
      <c r="I587" s="368" t="str">
        <f t="shared" si="209"/>
        <v>Jun</v>
      </c>
      <c r="J587" s="367" t="str">
        <f t="shared" si="195"/>
        <v>FY25</v>
      </c>
      <c r="K587" s="367" t="s">
        <v>843</v>
      </c>
      <c r="L587" s="367" t="s">
        <v>844</v>
      </c>
      <c r="M587" s="367" t="s">
        <v>845</v>
      </c>
      <c r="N587" s="367" t="s">
        <v>846</v>
      </c>
      <c r="O587" s="367" t="s">
        <v>723</v>
      </c>
      <c r="P587" s="367" t="s">
        <v>575</v>
      </c>
      <c r="Q587" s="367" t="str">
        <f t="shared" si="210"/>
        <v>FCCS_ClosingBalance_Input</v>
      </c>
      <c r="R587" s="367" t="s">
        <v>169</v>
      </c>
      <c r="S587" s="367" t="s">
        <v>848</v>
      </c>
      <c r="T587" s="367" t="s">
        <v>850</v>
      </c>
    </row>
    <row r="588" spans="2:20" x14ac:dyDescent="0.3">
      <c r="B588" s="364" t="s">
        <v>668</v>
      </c>
      <c r="C588" s="365" t="s">
        <v>38</v>
      </c>
      <c r="D588" s="366" t="str">
        <f>[2]!HsSetValue(E588,"FCC","Scenario#"&amp;R588&amp;";Years#"&amp;J588&amp;";Period#"&amp;I588&amp;";View#"&amp;S588&amp;";Entity#"&amp;H588&amp;";Data Source#"&amp;K588&amp;";Account#"&amp;F588&amp;";Intercompany#"&amp;L588&amp;";Movement#"&amp;Q588&amp;";Consolidation#"&amp;T588&amp;";Custom1#"&amp;M588&amp;";Custom2#"&amp;N588&amp;";Custom3#"&amp;O588&amp;";Custom4#"&amp;P588&amp;"")</f>
        <v>#Invalid Syntax</v>
      </c>
      <c r="E588" s="366">
        <f>SUMIF('Investment Analysis'!$E$22:$E$69,'FCC Investments - Load Tab'!C588,'Investment Analysis'!$N$22:$N$69)</f>
        <v>0</v>
      </c>
      <c r="F588" s="367" t="s">
        <v>673</v>
      </c>
      <c r="G588" s="367" t="s">
        <v>694</v>
      </c>
      <c r="H588" s="368" t="e">
        <f>+H$2</f>
        <v>#N/A</v>
      </c>
      <c r="I588" s="368" t="str">
        <f t="shared" si="209"/>
        <v>Jun</v>
      </c>
      <c r="J588" s="367" t="str">
        <f t="shared" si="195"/>
        <v>FY25</v>
      </c>
      <c r="K588" s="367" t="s">
        <v>843</v>
      </c>
      <c r="L588" s="367" t="s">
        <v>844</v>
      </c>
      <c r="M588" s="367" t="s">
        <v>845</v>
      </c>
      <c r="N588" s="367" t="s">
        <v>846</v>
      </c>
      <c r="O588" s="367" t="s">
        <v>724</v>
      </c>
      <c r="P588" s="367" t="s">
        <v>575</v>
      </c>
      <c r="Q588" s="367" t="str">
        <f t="shared" si="210"/>
        <v>FCCS_ClosingBalance_Input</v>
      </c>
      <c r="R588" s="367" t="s">
        <v>169</v>
      </c>
      <c r="S588" s="367" t="s">
        <v>848</v>
      </c>
      <c r="T588" s="367" t="s">
        <v>850</v>
      </c>
    </row>
    <row r="589" spans="2:20" x14ac:dyDescent="0.3">
      <c r="B589" s="364" t="s">
        <v>668</v>
      </c>
      <c r="C589" s="365" t="s">
        <v>38</v>
      </c>
      <c r="D589" s="366" t="str">
        <f>[2]!HsSetValue(E589,"FCC","Scenario#"&amp;R589&amp;";Years#"&amp;J589&amp;";Period#"&amp;I589&amp;";View#"&amp;S589&amp;";Entity#"&amp;H589&amp;";Data Source#"&amp;K589&amp;";Account#"&amp;F589&amp;";Intercompany#"&amp;L589&amp;";Movement#"&amp;Q589&amp;";Consolidation#"&amp;T589&amp;";Custom1#"&amp;M589&amp;";Custom2#"&amp;N589&amp;";Custom3#"&amp;O589&amp;";Custom4#"&amp;P589&amp;"")</f>
        <v>#Invalid Syntax</v>
      </c>
      <c r="E589" s="366">
        <f>SUMIF('Investment Analysis'!$E$2:$E$69,'FCC Investments - Load Tab'!C589,'Investment Analysis'!$O$2:$O$69)</f>
        <v>0</v>
      </c>
      <c r="F589" s="367" t="s">
        <v>673</v>
      </c>
      <c r="G589" s="367" t="s">
        <v>694</v>
      </c>
      <c r="H589" s="368" t="e">
        <f>+H$2</f>
        <v>#N/A</v>
      </c>
      <c r="I589" s="368" t="str">
        <f t="shared" si="209"/>
        <v>Jun</v>
      </c>
      <c r="J589" s="367" t="str">
        <f t="shared" si="195"/>
        <v>FY25</v>
      </c>
      <c r="K589" s="367" t="s">
        <v>843</v>
      </c>
      <c r="L589" s="367" t="s">
        <v>844</v>
      </c>
      <c r="M589" s="367" t="s">
        <v>845</v>
      </c>
      <c r="N589" s="367" t="s">
        <v>846</v>
      </c>
      <c r="O589" s="367" t="s">
        <v>725</v>
      </c>
      <c r="P589" s="367" t="s">
        <v>575</v>
      </c>
      <c r="Q589" s="367" t="str">
        <f t="shared" si="210"/>
        <v>FCCS_ClosingBalance_Input</v>
      </c>
      <c r="R589" s="367" t="s">
        <v>169</v>
      </c>
      <c r="S589" s="367" t="s">
        <v>848</v>
      </c>
      <c r="T589" s="367" t="s">
        <v>850</v>
      </c>
    </row>
    <row r="590" spans="2:20" x14ac:dyDescent="0.3">
      <c r="B590" s="210"/>
      <c r="C590" s="211"/>
      <c r="D590" s="212"/>
      <c r="E590" s="212"/>
    </row>
    <row r="591" spans="2:20" x14ac:dyDescent="0.3">
      <c r="B591" s="214" t="s">
        <v>667</v>
      </c>
      <c r="C591" s="215" t="s">
        <v>38</v>
      </c>
      <c r="D591" s="216" t="str">
        <f>[2]!HsSetValue(E591,"FCC","Scenario#"&amp;R591&amp;";Years#"&amp;J591&amp;";Period#"&amp;I591&amp;";View#"&amp;S591&amp;";Entity#"&amp;H591&amp;";Data Source#"&amp;K591&amp;";Account#"&amp;F591&amp;";Intercompany#"&amp;L591&amp;";Movement#"&amp;Q591&amp;";Consolidation#"&amp;T591&amp;";Custom1#"&amp;M591&amp;";Custom2#"&amp;N591&amp;";Custom3#"&amp;O591&amp;";Custom4#"&amp;P591&amp;"")</f>
        <v>#Invalid Syntax</v>
      </c>
      <c r="E591" s="216">
        <f>SUMIFS('Investment Analysis'!$H$22:$H$69,'Investment Analysis'!$E$22:$E$69,"Municipal Bonds",'Investment Analysis'!$AB$22:$AB$69,"10")</f>
        <v>0</v>
      </c>
      <c r="F591" s="217" t="s">
        <v>674</v>
      </c>
      <c r="G591" s="217" t="s">
        <v>1062</v>
      </c>
      <c r="H591" s="218" t="e">
        <f t="shared" ref="H591:N606" si="211">+H$2</f>
        <v>#N/A</v>
      </c>
      <c r="I591" s="218" t="str">
        <f t="shared" si="211"/>
        <v>Jun</v>
      </c>
      <c r="J591" s="217" t="str">
        <f t="shared" si="195"/>
        <v>FY25</v>
      </c>
      <c r="K591" s="217" t="s">
        <v>843</v>
      </c>
      <c r="L591" s="217" t="s">
        <v>844</v>
      </c>
      <c r="M591" s="217" t="s">
        <v>845</v>
      </c>
      <c r="N591" s="217" t="s">
        <v>846</v>
      </c>
      <c r="O591" s="217" t="s">
        <v>433</v>
      </c>
      <c r="P591" s="217" t="s">
        <v>575</v>
      </c>
      <c r="Q591" s="217" t="str">
        <f t="shared" ref="Q591:Q604" si="212">Q$2</f>
        <v>FCCS_ClosingBalance_Input</v>
      </c>
      <c r="R591" s="217" t="s">
        <v>169</v>
      </c>
      <c r="S591" s="217" t="s">
        <v>848</v>
      </c>
      <c r="T591" s="217" t="s">
        <v>850</v>
      </c>
    </row>
    <row r="592" spans="2:20" x14ac:dyDescent="0.3">
      <c r="B592" s="214" t="s">
        <v>667</v>
      </c>
      <c r="C592" s="215" t="s">
        <v>38</v>
      </c>
      <c r="D592" s="216" t="str">
        <f>[2]!HsSetValue(E592,"FCC","Scenario#"&amp;R592&amp;";Years#"&amp;J592&amp;";Period#"&amp;I592&amp;";View#"&amp;S592&amp;";Entity#"&amp;H592&amp;";Data Source#"&amp;K592&amp;";Account#"&amp;F592&amp;";Intercompany#"&amp;L592&amp;";Movement#"&amp;Q592&amp;";Consolidation#"&amp;T592&amp;";Custom1#"&amp;M592&amp;";Custom2#"&amp;N592&amp;";Custom3#"&amp;O592&amp;";Custom4#"&amp;P592&amp;"")</f>
        <v>#Invalid Syntax</v>
      </c>
      <c r="E592" s="216">
        <f>SUMIFS('Investment Analysis'!$H$22:$H$69,'Investment Analysis'!$E$22:$E$69,"Municipal Bonds",'Investment Analysis'!$AB$22:$AB$69,"9")</f>
        <v>0</v>
      </c>
      <c r="F592" s="217" t="s">
        <v>674</v>
      </c>
      <c r="G592" s="217" t="s">
        <v>1062</v>
      </c>
      <c r="H592" s="218" t="e">
        <f t="shared" si="211"/>
        <v>#N/A</v>
      </c>
      <c r="I592" s="218" t="str">
        <f t="shared" si="211"/>
        <v>Jun</v>
      </c>
      <c r="J592" s="217" t="str">
        <f t="shared" si="195"/>
        <v>FY25</v>
      </c>
      <c r="K592" s="217" t="s">
        <v>843</v>
      </c>
      <c r="L592" s="217" t="s">
        <v>844</v>
      </c>
      <c r="M592" s="217" t="s">
        <v>845</v>
      </c>
      <c r="N592" s="217" t="s">
        <v>846</v>
      </c>
      <c r="O592" s="217" t="s">
        <v>596</v>
      </c>
      <c r="P592" s="217" t="s">
        <v>575</v>
      </c>
      <c r="Q592" s="217" t="str">
        <f t="shared" si="212"/>
        <v>FCCS_ClosingBalance_Input</v>
      </c>
      <c r="R592" s="217" t="s">
        <v>169</v>
      </c>
      <c r="S592" s="217" t="s">
        <v>848</v>
      </c>
      <c r="T592" s="217" t="s">
        <v>850</v>
      </c>
    </row>
    <row r="593" spans="2:20" x14ac:dyDescent="0.3">
      <c r="B593" s="214" t="s">
        <v>667</v>
      </c>
      <c r="C593" s="215" t="s">
        <v>38</v>
      </c>
      <c r="D593" s="216" t="str">
        <f>[2]!HsSetValue(E593,"FCC","Scenario#"&amp;R593&amp;";Years#"&amp;J593&amp;";Period#"&amp;I593&amp;";View#"&amp;S593&amp;";Entity#"&amp;H593&amp;";Data Source#"&amp;K593&amp;";Account#"&amp;F593&amp;";Intercompany#"&amp;L593&amp;";Movement#"&amp;Q593&amp;";Consolidation#"&amp;T593&amp;";Custom1#"&amp;M593&amp;";Custom2#"&amp;N593&amp;";Custom3#"&amp;O593&amp;";Custom4#"&amp;P593&amp;"")</f>
        <v>#Invalid Syntax</v>
      </c>
      <c r="E593" s="216">
        <f>SUMIFS('Investment Analysis'!$H$22:$H$69,'Investment Analysis'!$E$22:$E$69,"Municipal Bonds",'Investment Analysis'!$AB$22:$AB$69,"8")</f>
        <v>0</v>
      </c>
      <c r="F593" s="217" t="s">
        <v>674</v>
      </c>
      <c r="G593" s="217" t="s">
        <v>1062</v>
      </c>
      <c r="H593" s="218" t="e">
        <f t="shared" si="211"/>
        <v>#N/A</v>
      </c>
      <c r="I593" s="218" t="str">
        <f t="shared" si="211"/>
        <v>Jun</v>
      </c>
      <c r="J593" s="217" t="str">
        <f t="shared" si="195"/>
        <v>FY25</v>
      </c>
      <c r="K593" s="217" t="s">
        <v>843</v>
      </c>
      <c r="L593" s="217" t="s">
        <v>844</v>
      </c>
      <c r="M593" s="217" t="s">
        <v>845</v>
      </c>
      <c r="N593" s="217" t="s">
        <v>846</v>
      </c>
      <c r="O593" s="217" t="s">
        <v>61</v>
      </c>
      <c r="P593" s="217" t="s">
        <v>575</v>
      </c>
      <c r="Q593" s="217" t="str">
        <f t="shared" si="212"/>
        <v>FCCS_ClosingBalance_Input</v>
      </c>
      <c r="R593" s="217" t="s">
        <v>169</v>
      </c>
      <c r="S593" s="217" t="s">
        <v>848</v>
      </c>
      <c r="T593" s="217" t="s">
        <v>850</v>
      </c>
    </row>
    <row r="594" spans="2:20" x14ac:dyDescent="0.3">
      <c r="B594" s="214" t="s">
        <v>667</v>
      </c>
      <c r="C594" s="215" t="s">
        <v>38</v>
      </c>
      <c r="D594" s="216" t="str">
        <f>[2]!HsSetValue(E594,"FCC","Scenario#"&amp;R594&amp;";Years#"&amp;J594&amp;";Period#"&amp;I594&amp;";View#"&amp;S594&amp;";Entity#"&amp;H594&amp;";Data Source#"&amp;K594&amp;";Account#"&amp;F594&amp;";Intercompany#"&amp;L594&amp;";Movement#"&amp;Q594&amp;";Consolidation#"&amp;T594&amp;";Custom1#"&amp;M594&amp;";Custom2#"&amp;N594&amp;";Custom3#"&amp;O594&amp;";Custom4#"&amp;P594&amp;"")</f>
        <v>#Invalid Syntax</v>
      </c>
      <c r="E594" s="216">
        <f>SUMIFS('Investment Analysis'!$H$22:$H$69,'Investment Analysis'!$E$22:$E$69,"Municipal Bonds",'Investment Analysis'!$AB$22:$AB$69,"7")</f>
        <v>0</v>
      </c>
      <c r="F594" s="217" t="s">
        <v>674</v>
      </c>
      <c r="G594" s="217" t="s">
        <v>1062</v>
      </c>
      <c r="H594" s="218" t="e">
        <f t="shared" si="211"/>
        <v>#N/A</v>
      </c>
      <c r="I594" s="218" t="str">
        <f t="shared" si="211"/>
        <v>Jun</v>
      </c>
      <c r="J594" s="217" t="str">
        <f t="shared" si="195"/>
        <v>FY25</v>
      </c>
      <c r="K594" s="217" t="s">
        <v>843</v>
      </c>
      <c r="L594" s="217" t="s">
        <v>844</v>
      </c>
      <c r="M594" s="217" t="s">
        <v>845</v>
      </c>
      <c r="N594" s="217" t="s">
        <v>846</v>
      </c>
      <c r="O594" s="217" t="s">
        <v>62</v>
      </c>
      <c r="P594" s="217" t="s">
        <v>575</v>
      </c>
      <c r="Q594" s="217" t="str">
        <f t="shared" si="212"/>
        <v>FCCS_ClosingBalance_Input</v>
      </c>
      <c r="R594" s="217" t="s">
        <v>169</v>
      </c>
      <c r="S594" s="217" t="s">
        <v>848</v>
      </c>
      <c r="T594" s="217" t="s">
        <v>850</v>
      </c>
    </row>
    <row r="595" spans="2:20" x14ac:dyDescent="0.3">
      <c r="B595" s="214" t="s">
        <v>667</v>
      </c>
      <c r="C595" s="215" t="s">
        <v>38</v>
      </c>
      <c r="D595" s="216" t="str">
        <f>[2]!HsSetValue(E595,"FCC","Scenario#"&amp;R595&amp;";Years#"&amp;J595&amp;";Period#"&amp;I595&amp;";View#"&amp;S595&amp;";Entity#"&amp;H595&amp;";Data Source#"&amp;K595&amp;";Account#"&amp;F595&amp;";Intercompany#"&amp;L595&amp;";Movement#"&amp;Q595&amp;";Consolidation#"&amp;T595&amp;";Custom1#"&amp;M595&amp;";Custom2#"&amp;N595&amp;";Custom3#"&amp;O595&amp;";Custom4#"&amp;P595&amp;"")</f>
        <v>#Invalid Syntax</v>
      </c>
      <c r="E595" s="216">
        <f>SUMIFS('Investment Analysis'!$H$22:$H$69,'Investment Analysis'!$E$22:$E$69,"Municipal Bonds",'Investment Analysis'!$AB$22:$AB$69,"6")</f>
        <v>0</v>
      </c>
      <c r="F595" s="217" t="s">
        <v>674</v>
      </c>
      <c r="G595" s="217" t="s">
        <v>1062</v>
      </c>
      <c r="H595" s="218" t="e">
        <f t="shared" si="211"/>
        <v>#N/A</v>
      </c>
      <c r="I595" s="218" t="str">
        <f t="shared" si="211"/>
        <v>Jun</v>
      </c>
      <c r="J595" s="217" t="str">
        <f t="shared" si="211"/>
        <v>FY25</v>
      </c>
      <c r="K595" s="217" t="s">
        <v>843</v>
      </c>
      <c r="L595" s="217" t="s">
        <v>844</v>
      </c>
      <c r="M595" s="217" t="s">
        <v>845</v>
      </c>
      <c r="N595" s="217" t="s">
        <v>846</v>
      </c>
      <c r="O595" s="217" t="s">
        <v>436</v>
      </c>
      <c r="P595" s="217" t="s">
        <v>575</v>
      </c>
      <c r="Q595" s="217" t="str">
        <f t="shared" si="212"/>
        <v>FCCS_ClosingBalance_Input</v>
      </c>
      <c r="R595" s="217" t="s">
        <v>169</v>
      </c>
      <c r="S595" s="217" t="s">
        <v>848</v>
      </c>
      <c r="T595" s="217" t="s">
        <v>850</v>
      </c>
    </row>
    <row r="596" spans="2:20" s="371" customFormat="1" x14ac:dyDescent="0.3">
      <c r="B596" s="214" t="s">
        <v>667</v>
      </c>
      <c r="C596" s="215" t="s">
        <v>38</v>
      </c>
      <c r="D596" s="216" t="str">
        <f>[2]!HsSetValue(E596,"FCC","Scenario#"&amp;R596&amp;";Years#"&amp;J596&amp;";Period#"&amp;I596&amp;";View#"&amp;S596&amp;";Entity#"&amp;H596&amp;";Data Source#"&amp;K596&amp;";Account#"&amp;F596&amp;";Intercompany#"&amp;L596&amp;";Movement#"&amp;Q596&amp;";Consolidation#"&amp;T596&amp;";Custom1#"&amp;M596&amp;";Custom2#"&amp;N596&amp;";Custom3#"&amp;O596&amp;";Custom4#"&amp;P596&amp;"")</f>
        <v>#Invalid Syntax</v>
      </c>
      <c r="E596" s="216">
        <f>SUMIFS('Investment Analysis'!$H$22:$H$69,'Investment Analysis'!$E$22:$E$69,"Municipal Bonds",'Investment Analysis'!$AB$22:$AB$69,"5")</f>
        <v>0</v>
      </c>
      <c r="F596" s="217" t="s">
        <v>674</v>
      </c>
      <c r="G596" s="217" t="s">
        <v>1062</v>
      </c>
      <c r="H596" s="218" t="e">
        <f t="shared" si="211"/>
        <v>#N/A</v>
      </c>
      <c r="I596" s="218" t="str">
        <f t="shared" si="211"/>
        <v>Jun</v>
      </c>
      <c r="J596" s="217" t="str">
        <f t="shared" si="211"/>
        <v>FY25</v>
      </c>
      <c r="K596" s="217" t="str">
        <f t="shared" si="211"/>
        <v>FCCS_Other Data</v>
      </c>
      <c r="L596" s="217" t="str">
        <f t="shared" si="211"/>
        <v>FCCS_No Intercompany</v>
      </c>
      <c r="M596" s="217" t="str">
        <f>+M$1</f>
        <v>No Custom1</v>
      </c>
      <c r="N596" s="217" t="str">
        <f t="shared" si="211"/>
        <v>No Custom2</v>
      </c>
      <c r="O596" s="217" t="s">
        <v>434</v>
      </c>
      <c r="P596" s="217" t="s">
        <v>575</v>
      </c>
      <c r="Q596" s="217" t="str">
        <f t="shared" si="212"/>
        <v>FCCS_ClosingBalance_Input</v>
      </c>
      <c r="R596" s="217" t="str">
        <f t="shared" ref="R596:S600" si="213">+R$2</f>
        <v>Actual</v>
      </c>
      <c r="S596" s="217" t="str">
        <f t="shared" si="213"/>
        <v>FCCS_YTD_Input</v>
      </c>
      <c r="T596" s="217" t="s">
        <v>850</v>
      </c>
    </row>
    <row r="597" spans="2:20" s="371" customFormat="1" x14ac:dyDescent="0.3">
      <c r="B597" s="214" t="s">
        <v>667</v>
      </c>
      <c r="C597" s="215" t="s">
        <v>38</v>
      </c>
      <c r="D597" s="216" t="str">
        <f>[2]!HsSetValue(E597,"FCC","Scenario#"&amp;R597&amp;";Years#"&amp;J597&amp;";Period#"&amp;I597&amp;";View#"&amp;S597&amp;";Entity#"&amp;H597&amp;";Data Source#"&amp;K597&amp;";Account#"&amp;F597&amp;";Intercompany#"&amp;L597&amp;";Movement#"&amp;Q597&amp;";Consolidation#"&amp;T597&amp;";Custom1#"&amp;M597&amp;";Custom2#"&amp;N597&amp;";Custom3#"&amp;O597&amp;";Custom4#"&amp;P597&amp;"")</f>
        <v>#Invalid Syntax</v>
      </c>
      <c r="E597" s="216">
        <f>SUMIFS('Investment Analysis'!$H$22:$H$69,'Investment Analysis'!$E$22:$E$69,"Municipal Bonds",'Investment Analysis'!$AB$22:$AB$69,"4")</f>
        <v>0</v>
      </c>
      <c r="F597" s="217" t="s">
        <v>674</v>
      </c>
      <c r="G597" s="217" t="s">
        <v>1062</v>
      </c>
      <c r="H597" s="218" t="e">
        <f t="shared" si="211"/>
        <v>#N/A</v>
      </c>
      <c r="I597" s="218" t="str">
        <f t="shared" si="211"/>
        <v>Jun</v>
      </c>
      <c r="J597" s="217" t="str">
        <f t="shared" si="211"/>
        <v>FY25</v>
      </c>
      <c r="K597" s="217" t="str">
        <f t="shared" si="211"/>
        <v>FCCS_Other Data</v>
      </c>
      <c r="L597" s="217" t="str">
        <f t="shared" si="211"/>
        <v>FCCS_No Intercompany</v>
      </c>
      <c r="M597" s="217" t="str">
        <f>+M$1</f>
        <v>No Custom1</v>
      </c>
      <c r="N597" s="217" t="str">
        <f t="shared" si="211"/>
        <v>No Custom2</v>
      </c>
      <c r="O597" s="217" t="s">
        <v>63</v>
      </c>
      <c r="P597" s="217" t="s">
        <v>575</v>
      </c>
      <c r="Q597" s="217" t="str">
        <f t="shared" si="212"/>
        <v>FCCS_ClosingBalance_Input</v>
      </c>
      <c r="R597" s="217" t="str">
        <f t="shared" si="213"/>
        <v>Actual</v>
      </c>
      <c r="S597" s="217" t="str">
        <f t="shared" si="213"/>
        <v>FCCS_YTD_Input</v>
      </c>
      <c r="T597" s="217" t="s">
        <v>850</v>
      </c>
    </row>
    <row r="598" spans="2:20" s="371" customFormat="1" x14ac:dyDescent="0.3">
      <c r="B598" s="214" t="s">
        <v>667</v>
      </c>
      <c r="C598" s="215" t="s">
        <v>38</v>
      </c>
      <c r="D598" s="216" t="str">
        <f>[2]!HsSetValue(E598,"FCC","Scenario#"&amp;R598&amp;";Years#"&amp;J598&amp;";Period#"&amp;I598&amp;";View#"&amp;S598&amp;";Entity#"&amp;H598&amp;";Data Source#"&amp;K598&amp;";Account#"&amp;F598&amp;";Intercompany#"&amp;L598&amp;";Movement#"&amp;Q598&amp;";Consolidation#"&amp;T598&amp;";Custom1#"&amp;M598&amp;";Custom2#"&amp;N598&amp;";Custom3#"&amp;O598&amp;";Custom4#"&amp;P598&amp;"")</f>
        <v>#Invalid Syntax</v>
      </c>
      <c r="E598" s="216">
        <f>SUMIFS('Investment Analysis'!$H$22:$H$69,'Investment Analysis'!$E$22:$E$69,"Municipal Bonds",'Investment Analysis'!$AB$22:$AB$69,"3")</f>
        <v>0</v>
      </c>
      <c r="F598" s="217" t="s">
        <v>674</v>
      </c>
      <c r="G598" s="217" t="s">
        <v>1062</v>
      </c>
      <c r="H598" s="218" t="e">
        <f t="shared" si="211"/>
        <v>#N/A</v>
      </c>
      <c r="I598" s="218" t="str">
        <f t="shared" si="211"/>
        <v>Jun</v>
      </c>
      <c r="J598" s="217" t="str">
        <f t="shared" si="211"/>
        <v>FY25</v>
      </c>
      <c r="K598" s="217" t="str">
        <f t="shared" si="211"/>
        <v>FCCS_Other Data</v>
      </c>
      <c r="L598" s="217" t="str">
        <f t="shared" si="211"/>
        <v>FCCS_No Intercompany</v>
      </c>
      <c r="M598" s="217" t="str">
        <f>+M$1</f>
        <v>No Custom1</v>
      </c>
      <c r="N598" s="217" t="str">
        <f t="shared" si="211"/>
        <v>No Custom2</v>
      </c>
      <c r="O598" s="217" t="s">
        <v>622</v>
      </c>
      <c r="P598" s="217" t="s">
        <v>575</v>
      </c>
      <c r="Q598" s="217" t="str">
        <f t="shared" si="212"/>
        <v>FCCS_ClosingBalance_Input</v>
      </c>
      <c r="R598" s="217" t="str">
        <f t="shared" si="213"/>
        <v>Actual</v>
      </c>
      <c r="S598" s="217" t="str">
        <f t="shared" si="213"/>
        <v>FCCS_YTD_Input</v>
      </c>
      <c r="T598" s="217" t="s">
        <v>850</v>
      </c>
    </row>
    <row r="599" spans="2:20" s="371" customFormat="1" x14ac:dyDescent="0.3">
      <c r="B599" s="214" t="s">
        <v>667</v>
      </c>
      <c r="C599" s="215" t="s">
        <v>38</v>
      </c>
      <c r="D599" s="216" t="str">
        <f>[2]!HsSetValue(E599,"FCC","Scenario#"&amp;R599&amp;";Years#"&amp;J599&amp;";Period#"&amp;I599&amp;";View#"&amp;S599&amp;";Entity#"&amp;H599&amp;";Data Source#"&amp;K599&amp;";Account#"&amp;F599&amp;";Intercompany#"&amp;L599&amp;";Movement#"&amp;Q599&amp;";Consolidation#"&amp;T599&amp;";Custom1#"&amp;M599&amp;";Custom2#"&amp;N599&amp;";Custom3#"&amp;O599&amp;";Custom4#"&amp;P599&amp;"")</f>
        <v>#Invalid Syntax</v>
      </c>
      <c r="E599" s="216">
        <f>SUMIFS('Investment Analysis'!$H$22:$H$69,'Investment Analysis'!$E$22:$E$69,"Municipal Bonds",'Investment Analysis'!$AB$22:$AB$69,"2")</f>
        <v>0</v>
      </c>
      <c r="F599" s="217" t="s">
        <v>674</v>
      </c>
      <c r="G599" s="217" t="s">
        <v>1062</v>
      </c>
      <c r="H599" s="218" t="e">
        <f t="shared" si="211"/>
        <v>#N/A</v>
      </c>
      <c r="I599" s="218" t="str">
        <f t="shared" si="211"/>
        <v>Jun</v>
      </c>
      <c r="J599" s="217" t="str">
        <f t="shared" si="211"/>
        <v>FY25</v>
      </c>
      <c r="K599" s="217" t="str">
        <f t="shared" si="211"/>
        <v>FCCS_Other Data</v>
      </c>
      <c r="L599" s="217" t="str">
        <f t="shared" si="211"/>
        <v>FCCS_No Intercompany</v>
      </c>
      <c r="M599" s="217" t="str">
        <f>+M$1</f>
        <v>No Custom1</v>
      </c>
      <c r="N599" s="217" t="str">
        <f t="shared" si="211"/>
        <v>No Custom2</v>
      </c>
      <c r="O599" s="217" t="s">
        <v>618</v>
      </c>
      <c r="P599" s="217" t="s">
        <v>575</v>
      </c>
      <c r="Q599" s="217" t="str">
        <f t="shared" si="212"/>
        <v>FCCS_ClosingBalance_Input</v>
      </c>
      <c r="R599" s="217" t="str">
        <f t="shared" si="213"/>
        <v>Actual</v>
      </c>
      <c r="S599" s="217" t="str">
        <f t="shared" si="213"/>
        <v>FCCS_YTD_Input</v>
      </c>
      <c r="T599" s="217" t="s">
        <v>850</v>
      </c>
    </row>
    <row r="600" spans="2:20" s="371" customFormat="1" x14ac:dyDescent="0.3">
      <c r="B600" s="214" t="s">
        <v>667</v>
      </c>
      <c r="C600" s="215" t="s">
        <v>38</v>
      </c>
      <c r="D600" s="216" t="str">
        <f>[2]!HsSetValue(E600,"FCC","Scenario#"&amp;R600&amp;";Years#"&amp;J600&amp;";Period#"&amp;I600&amp;";View#"&amp;S600&amp;";Entity#"&amp;H600&amp;";Data Source#"&amp;K600&amp;";Account#"&amp;F600&amp;";Intercompany#"&amp;L600&amp;";Movement#"&amp;Q600&amp;";Consolidation#"&amp;T600&amp;";Custom1#"&amp;M600&amp;";Custom2#"&amp;N600&amp;";Custom3#"&amp;O600&amp;";Custom4#"&amp;P600&amp;"")</f>
        <v>#Invalid Syntax</v>
      </c>
      <c r="E600" s="216">
        <f>SUMIFS('Investment Analysis'!$H$22:$H$69,'Investment Analysis'!$E$22:$E$69,"Municipal Bonds",'Investment Analysis'!$AB$22:$AB$69,"1")</f>
        <v>0</v>
      </c>
      <c r="F600" s="217" t="s">
        <v>674</v>
      </c>
      <c r="G600" s="217" t="s">
        <v>1062</v>
      </c>
      <c r="H600" s="218" t="e">
        <f t="shared" si="211"/>
        <v>#N/A</v>
      </c>
      <c r="I600" s="218" t="str">
        <f t="shared" si="211"/>
        <v>Jun</v>
      </c>
      <c r="J600" s="217" t="str">
        <f t="shared" si="211"/>
        <v>FY25</v>
      </c>
      <c r="K600" s="217" t="str">
        <f t="shared" si="211"/>
        <v>FCCS_Other Data</v>
      </c>
      <c r="L600" s="217" t="str">
        <f t="shared" si="211"/>
        <v>FCCS_No Intercompany</v>
      </c>
      <c r="M600" s="217" t="str">
        <f>+M$1</f>
        <v>No Custom1</v>
      </c>
      <c r="N600" s="217" t="str">
        <f t="shared" si="211"/>
        <v>No Custom2</v>
      </c>
      <c r="O600" s="217" t="s">
        <v>64</v>
      </c>
      <c r="P600" s="217" t="s">
        <v>575</v>
      </c>
      <c r="Q600" s="217" t="str">
        <f t="shared" si="212"/>
        <v>FCCS_ClosingBalance_Input</v>
      </c>
      <c r="R600" s="217" t="str">
        <f t="shared" si="213"/>
        <v>Actual</v>
      </c>
      <c r="S600" s="217" t="str">
        <f t="shared" si="213"/>
        <v>FCCS_YTD_Input</v>
      </c>
      <c r="T600" s="217" t="s">
        <v>850</v>
      </c>
    </row>
    <row r="601" spans="2:20" x14ac:dyDescent="0.3">
      <c r="B601" s="214" t="s">
        <v>667</v>
      </c>
      <c r="C601" s="215" t="s">
        <v>38</v>
      </c>
      <c r="D601" s="216" t="str">
        <f>[2]!HsSetValue(E601,"FCC","Scenario#"&amp;R601&amp;";Years#"&amp;J601&amp;";Period#"&amp;I601&amp;";View#"&amp;S601&amp;";Entity#"&amp;H601&amp;";Data Source#"&amp;K601&amp;";Account#"&amp;F601&amp;";Intercompany#"&amp;L601&amp;";Movement#"&amp;Q601&amp;";Consolidation#"&amp;T601&amp;";Custom1#"&amp;M601&amp;";Custom2#"&amp;N601&amp;";Custom3#"&amp;O601&amp;";Custom4#"&amp;P601&amp;"")</f>
        <v>#Invalid Syntax</v>
      </c>
      <c r="E601" s="216">
        <f>SUMIFS('Investment Analysis'!$H$22:$H$69,'Investment Analysis'!$E$22:$E$69,"Municipal Bonds",'Investment Analysis'!$AI$22:$AI$69,"16")</f>
        <v>0</v>
      </c>
      <c r="F601" s="217" t="s">
        <v>674</v>
      </c>
      <c r="G601" s="217" t="s">
        <v>1062</v>
      </c>
      <c r="H601" s="218" t="e">
        <f t="shared" si="211"/>
        <v>#N/A</v>
      </c>
      <c r="I601" s="218" t="str">
        <f t="shared" si="211"/>
        <v>Jun</v>
      </c>
      <c r="J601" s="217" t="str">
        <f t="shared" si="211"/>
        <v>FY25</v>
      </c>
      <c r="K601" s="217" t="s">
        <v>843</v>
      </c>
      <c r="L601" s="217" t="s">
        <v>844</v>
      </c>
      <c r="M601" s="217" t="s">
        <v>845</v>
      </c>
      <c r="N601" s="217" t="s">
        <v>846</v>
      </c>
      <c r="O601" s="217" t="s">
        <v>726</v>
      </c>
      <c r="P601" s="217" t="s">
        <v>575</v>
      </c>
      <c r="Q601" s="217" t="str">
        <f t="shared" si="212"/>
        <v>FCCS_ClosingBalance_Input</v>
      </c>
      <c r="R601" s="217" t="s">
        <v>169</v>
      </c>
      <c r="S601" s="217" t="s">
        <v>848</v>
      </c>
      <c r="T601" s="217" t="s">
        <v>850</v>
      </c>
    </row>
    <row r="602" spans="2:20" x14ac:dyDescent="0.3">
      <c r="B602" s="214" t="s">
        <v>667</v>
      </c>
      <c r="C602" s="215" t="s">
        <v>38</v>
      </c>
      <c r="D602" s="216" t="str">
        <f>[2]!HsSetValue(E602,"FCC","Scenario#"&amp;R602&amp;";Years#"&amp;J602&amp;";Period#"&amp;I602&amp;";View#"&amp;S602&amp;";Entity#"&amp;H602&amp;";Data Source#"&amp;K602&amp;";Account#"&amp;F602&amp;";Intercompany#"&amp;L602&amp;";Movement#"&amp;Q602&amp;";Consolidation#"&amp;T602&amp;";Custom1#"&amp;M602&amp;";Custom2#"&amp;N602&amp;";Custom3#"&amp;O602&amp;";Custom4#"&amp;P602&amp;"")</f>
        <v>#Invalid Syntax</v>
      </c>
      <c r="E602" s="216">
        <f>SUMIFS('Investment Analysis'!$H$22:$H$69,'Investment Analysis'!$E$22:$E$69,"Municipal Bonds",'Investment Analysis'!$AI$22:$AI$69,"15")</f>
        <v>0</v>
      </c>
      <c r="F602" s="217" t="s">
        <v>674</v>
      </c>
      <c r="G602" s="217" t="s">
        <v>1062</v>
      </c>
      <c r="H602" s="218" t="e">
        <f t="shared" si="211"/>
        <v>#N/A</v>
      </c>
      <c r="I602" s="218" t="str">
        <f t="shared" si="211"/>
        <v>Jun</v>
      </c>
      <c r="J602" s="217" t="str">
        <f t="shared" si="211"/>
        <v>FY25</v>
      </c>
      <c r="K602" s="217" t="s">
        <v>843</v>
      </c>
      <c r="L602" s="217" t="s">
        <v>844</v>
      </c>
      <c r="M602" s="217" t="s">
        <v>845</v>
      </c>
      <c r="N602" s="217" t="s">
        <v>846</v>
      </c>
      <c r="O602" s="217" t="s">
        <v>727</v>
      </c>
      <c r="P602" s="217" t="s">
        <v>575</v>
      </c>
      <c r="Q602" s="217" t="str">
        <f t="shared" si="212"/>
        <v>FCCS_ClosingBalance_Input</v>
      </c>
      <c r="R602" s="217" t="s">
        <v>169</v>
      </c>
      <c r="S602" s="217" t="s">
        <v>848</v>
      </c>
      <c r="T602" s="217" t="s">
        <v>850</v>
      </c>
    </row>
    <row r="603" spans="2:20" x14ac:dyDescent="0.3">
      <c r="B603" s="214" t="s">
        <v>667</v>
      </c>
      <c r="C603" s="215" t="s">
        <v>38</v>
      </c>
      <c r="D603" s="216" t="str">
        <f>[2]!HsSetValue(E603,"FCC","Scenario#"&amp;R603&amp;";Years#"&amp;J603&amp;";Period#"&amp;I603&amp;";View#"&amp;S603&amp;";Entity#"&amp;H603&amp;";Data Source#"&amp;K603&amp;";Account#"&amp;F603&amp;";Intercompany#"&amp;L603&amp;";Movement#"&amp;Q603&amp;";Consolidation#"&amp;T603&amp;";Custom1#"&amp;M603&amp;";Custom2#"&amp;N603&amp;";Custom3#"&amp;O603&amp;";Custom4#"&amp;P603&amp;"")</f>
        <v>#Invalid Syntax</v>
      </c>
      <c r="E603" s="216">
        <f>SUMIFS('Investment Analysis'!$H$22:$H$69,'Investment Analysis'!$E$22:$E$69,"Municipal Bonds",'Investment Analysis'!$AI$22:$AI$69,"14")</f>
        <v>0</v>
      </c>
      <c r="F603" s="217" t="s">
        <v>674</v>
      </c>
      <c r="G603" s="217" t="s">
        <v>1062</v>
      </c>
      <c r="H603" s="218" t="e">
        <f t="shared" si="211"/>
        <v>#N/A</v>
      </c>
      <c r="I603" s="218" t="str">
        <f t="shared" si="211"/>
        <v>Jun</v>
      </c>
      <c r="J603" s="217" t="str">
        <f t="shared" si="211"/>
        <v>FY25</v>
      </c>
      <c r="K603" s="217" t="s">
        <v>843</v>
      </c>
      <c r="L603" s="217" t="s">
        <v>844</v>
      </c>
      <c r="M603" s="217" t="s">
        <v>845</v>
      </c>
      <c r="N603" s="217" t="s">
        <v>846</v>
      </c>
      <c r="O603" s="217" t="s">
        <v>728</v>
      </c>
      <c r="P603" s="217" t="s">
        <v>575</v>
      </c>
      <c r="Q603" s="217" t="str">
        <f t="shared" si="212"/>
        <v>FCCS_ClosingBalance_Input</v>
      </c>
      <c r="R603" s="217" t="s">
        <v>169</v>
      </c>
      <c r="S603" s="217" t="s">
        <v>848</v>
      </c>
      <c r="T603" s="217" t="s">
        <v>850</v>
      </c>
    </row>
    <row r="604" spans="2:20" x14ac:dyDescent="0.3">
      <c r="B604" s="214" t="s">
        <v>667</v>
      </c>
      <c r="C604" s="215" t="s">
        <v>38</v>
      </c>
      <c r="D604" s="216" t="str">
        <f>[2]!HsSetValue(E604,"FCC","Scenario#"&amp;R604&amp;";Years#"&amp;J604&amp;";Period#"&amp;I604&amp;";View#"&amp;S604&amp;";Entity#"&amp;H604&amp;";Data Source#"&amp;K604&amp;";Account#"&amp;F604&amp;";Intercompany#"&amp;L604&amp;";Movement#"&amp;Q604&amp;";Consolidation#"&amp;T604&amp;";Custom1#"&amp;M604&amp;";Custom2#"&amp;N604&amp;";Custom3#"&amp;O604&amp;";Custom4#"&amp;P604&amp;"")</f>
        <v>#Invalid Syntax</v>
      </c>
      <c r="E604" s="216">
        <f>SUMIFS('Investment Analysis'!$H$22:$H$69,'Investment Analysis'!$E$22:$E$69,"Municipal Bonds",'Investment Analysis'!$AB$22:$AB$69,"0")+SUMIFS('Investment Analysis'!$H$22:$H$69,'Investment Analysis'!$E$22:$E$69,"Municipal Bonds",'Investment Analysis'!$AI$22:$AI$69,"0")</f>
        <v>0</v>
      </c>
      <c r="F604" s="217" t="s">
        <v>674</v>
      </c>
      <c r="G604" s="217" t="s">
        <v>1062</v>
      </c>
      <c r="H604" s="218" t="e">
        <f t="shared" si="211"/>
        <v>#N/A</v>
      </c>
      <c r="I604" s="218" t="str">
        <f t="shared" si="211"/>
        <v>Jun</v>
      </c>
      <c r="J604" s="217" t="str">
        <f t="shared" si="211"/>
        <v>FY25</v>
      </c>
      <c r="K604" s="217" t="s">
        <v>843</v>
      </c>
      <c r="L604" s="217" t="s">
        <v>844</v>
      </c>
      <c r="M604" s="217" t="s">
        <v>845</v>
      </c>
      <c r="N604" s="217" t="s">
        <v>846</v>
      </c>
      <c r="O604" s="217" t="s">
        <v>609</v>
      </c>
      <c r="P604" s="217" t="s">
        <v>575</v>
      </c>
      <c r="Q604" s="217" t="str">
        <f t="shared" si="212"/>
        <v>FCCS_ClosingBalance_Input</v>
      </c>
      <c r="R604" s="217" t="s">
        <v>169</v>
      </c>
      <c r="S604" s="217" t="s">
        <v>848</v>
      </c>
      <c r="T604" s="217" t="s">
        <v>850</v>
      </c>
    </row>
    <row r="605" spans="2:20" x14ac:dyDescent="0.3">
      <c r="B605" s="210"/>
      <c r="C605" s="211"/>
      <c r="D605" s="212"/>
      <c r="E605" s="212"/>
    </row>
    <row r="606" spans="2:20" x14ac:dyDescent="0.3">
      <c r="B606" s="219" t="s">
        <v>1014</v>
      </c>
      <c r="C606" s="220" t="s">
        <v>38</v>
      </c>
      <c r="D606" s="221" t="str">
        <f>[2]!HsSetValue(E606,"FCC","Scenario#"&amp;R606&amp;";Years#"&amp;J606&amp;";Period#"&amp;I606&amp;";View#"&amp;S606&amp;";Entity#"&amp;H606&amp;";Data Source#"&amp;K606&amp;";Account#"&amp;F606&amp;";Intercompany#"&amp;L606&amp;";Movement#"&amp;Q606&amp;";Consolidation#"&amp;T606&amp;";Custom1#"&amp;M606&amp;";Custom2#"&amp;N606&amp;";Custom3#"&amp;O606&amp;";Custom4#"&amp;P606&amp;"")</f>
        <v>#Invalid Syntax</v>
      </c>
      <c r="E606" s="221">
        <f>SUMIFS('Investment Analysis'!$H$22:$H$69,'Investment Analysis'!$E$22:$E$69,"Municipal Bonds",'Investment Analysis'!$AK$22:$AK$69,"21")</f>
        <v>0</v>
      </c>
      <c r="F606" s="222" t="s">
        <v>675</v>
      </c>
      <c r="G606" s="222" t="s">
        <v>1033</v>
      </c>
      <c r="H606" s="223" t="e">
        <f>+H$2</f>
        <v>#N/A</v>
      </c>
      <c r="I606" s="223" t="str">
        <f t="shared" ref="I606:J621" si="214">+I$2</f>
        <v>Jun</v>
      </c>
      <c r="J606" s="222" t="str">
        <f t="shared" si="211"/>
        <v>FY25</v>
      </c>
      <c r="K606" s="222" t="s">
        <v>843</v>
      </c>
      <c r="L606" s="222" t="s">
        <v>844</v>
      </c>
      <c r="M606" s="222" t="s">
        <v>845</v>
      </c>
      <c r="N606" s="222" t="s">
        <v>846</v>
      </c>
      <c r="O606" s="222" t="s">
        <v>729</v>
      </c>
      <c r="P606" s="222" t="s">
        <v>575</v>
      </c>
      <c r="Q606" s="222" t="str">
        <f t="shared" ref="Q606:Q610" si="215">Q$2</f>
        <v>FCCS_ClosingBalance_Input</v>
      </c>
      <c r="R606" s="222" t="s">
        <v>169</v>
      </c>
      <c r="S606" s="222" t="s">
        <v>848</v>
      </c>
      <c r="T606" s="222" t="s">
        <v>850</v>
      </c>
    </row>
    <row r="607" spans="2:20" x14ac:dyDescent="0.3">
      <c r="B607" s="219" t="s">
        <v>1014</v>
      </c>
      <c r="C607" s="220" t="s">
        <v>38</v>
      </c>
      <c r="D607" s="221" t="str">
        <f>[2]!HsSetValue(E607,"FCC","Scenario#"&amp;R607&amp;";Years#"&amp;J607&amp;";Period#"&amp;I607&amp;";View#"&amp;S607&amp;";Entity#"&amp;H607&amp;";Data Source#"&amp;K607&amp;";Account#"&amp;F607&amp;";Intercompany#"&amp;L607&amp;";Movement#"&amp;Q607&amp;";Consolidation#"&amp;T607&amp;";Custom1#"&amp;M607&amp;";Custom2#"&amp;N607&amp;";Custom3#"&amp;O607&amp;";Custom4#"&amp;P607&amp;"")</f>
        <v>#Invalid Syntax</v>
      </c>
      <c r="E607" s="221">
        <f>SUMIFS('Investment Analysis'!$H$22:$H$69,'Investment Analysis'!$E$22:$E$69,"Municipal Bonds",'Investment Analysis'!$AK$22:$AK$69,"22")</f>
        <v>0</v>
      </c>
      <c r="F607" s="222" t="s">
        <v>675</v>
      </c>
      <c r="G607" s="222" t="s">
        <v>1033</v>
      </c>
      <c r="H607" s="223" t="e">
        <f>+H$2</f>
        <v>#N/A</v>
      </c>
      <c r="I607" s="223" t="str">
        <f t="shared" si="214"/>
        <v>Jun</v>
      </c>
      <c r="J607" s="222" t="str">
        <f t="shared" si="214"/>
        <v>FY25</v>
      </c>
      <c r="K607" s="222" t="s">
        <v>843</v>
      </c>
      <c r="L607" s="222" t="s">
        <v>844</v>
      </c>
      <c r="M607" s="222" t="s">
        <v>845</v>
      </c>
      <c r="N607" s="222" t="s">
        <v>846</v>
      </c>
      <c r="O607" s="222" t="s">
        <v>730</v>
      </c>
      <c r="P607" s="222" t="s">
        <v>575</v>
      </c>
      <c r="Q607" s="222" t="str">
        <f t="shared" si="215"/>
        <v>FCCS_ClosingBalance_Input</v>
      </c>
      <c r="R607" s="222" t="s">
        <v>169</v>
      </c>
      <c r="S607" s="222" t="s">
        <v>848</v>
      </c>
      <c r="T607" s="222" t="s">
        <v>850</v>
      </c>
    </row>
    <row r="608" spans="2:20" x14ac:dyDescent="0.3">
      <c r="B608" s="219" t="s">
        <v>1014</v>
      </c>
      <c r="C608" s="220" t="s">
        <v>38</v>
      </c>
      <c r="D608" s="221" t="str">
        <f>[2]!HsSetValue(E608,"FCC","Scenario#"&amp;R608&amp;";Years#"&amp;J608&amp;";Period#"&amp;I608&amp;";View#"&amp;S608&amp;";Entity#"&amp;H608&amp;";Data Source#"&amp;K608&amp;";Account#"&amp;F608&amp;";Intercompany#"&amp;L608&amp;";Movement#"&amp;Q608&amp;";Consolidation#"&amp;T608&amp;";Custom1#"&amp;M608&amp;";Custom2#"&amp;N608&amp;";Custom3#"&amp;O608&amp;";Custom4#"&amp;P608&amp;"")</f>
        <v>#Invalid Syntax</v>
      </c>
      <c r="E608" s="221">
        <f>SUMIFS('Investment Analysis'!$H$22:$H$69,'Investment Analysis'!$E$22:$E$69,"Municipal Bonds",'Investment Analysis'!$AK$22:$AK$69,"23")</f>
        <v>0</v>
      </c>
      <c r="F608" s="222" t="s">
        <v>675</v>
      </c>
      <c r="G608" s="222" t="s">
        <v>1033</v>
      </c>
      <c r="H608" s="223" t="e">
        <f>+H$2</f>
        <v>#N/A</v>
      </c>
      <c r="I608" s="223" t="str">
        <f t="shared" si="214"/>
        <v>Jun</v>
      </c>
      <c r="J608" s="222" t="str">
        <f t="shared" si="214"/>
        <v>FY25</v>
      </c>
      <c r="K608" s="222" t="s">
        <v>843</v>
      </c>
      <c r="L608" s="222" t="s">
        <v>844</v>
      </c>
      <c r="M608" s="222" t="s">
        <v>845</v>
      </c>
      <c r="N608" s="222" t="s">
        <v>846</v>
      </c>
      <c r="O608" s="222" t="s">
        <v>731</v>
      </c>
      <c r="P608" s="222" t="s">
        <v>575</v>
      </c>
      <c r="Q608" s="222" t="str">
        <f t="shared" si="215"/>
        <v>FCCS_ClosingBalance_Input</v>
      </c>
      <c r="R608" s="222" t="s">
        <v>169</v>
      </c>
      <c r="S608" s="222" t="s">
        <v>848</v>
      </c>
      <c r="T608" s="222" t="s">
        <v>850</v>
      </c>
    </row>
    <row r="609" spans="2:20" x14ac:dyDescent="0.3">
      <c r="B609" s="219" t="s">
        <v>1014</v>
      </c>
      <c r="C609" s="220" t="s">
        <v>38</v>
      </c>
      <c r="D609" s="221" t="str">
        <f>[2]!HsSetValue(E609,"FCC","Scenario#"&amp;R609&amp;";Years#"&amp;J609&amp;";Period#"&amp;I609&amp;";View#"&amp;S609&amp;";Entity#"&amp;H609&amp;";Data Source#"&amp;K609&amp;";Account#"&amp;F609&amp;";Intercompany#"&amp;L609&amp;";Movement#"&amp;Q609&amp;";Consolidation#"&amp;T609&amp;";Custom1#"&amp;M609&amp;";Custom2#"&amp;N609&amp;";Custom3#"&amp;O609&amp;";Custom4#"&amp;P609&amp;"")</f>
        <v>#Invalid Syntax</v>
      </c>
      <c r="E609" s="221">
        <f>SUMIFS('Investment Analysis'!$H$22:$H$69,'Investment Analysis'!$E$22:$E$69,"Municipal Bonds",'Investment Analysis'!$AK$22:$AK$69,"24")</f>
        <v>0</v>
      </c>
      <c r="F609" s="222" t="s">
        <v>675</v>
      </c>
      <c r="G609" s="222" t="s">
        <v>1033</v>
      </c>
      <c r="H609" s="223" t="e">
        <f>+H$2</f>
        <v>#N/A</v>
      </c>
      <c r="I609" s="223" t="str">
        <f t="shared" si="214"/>
        <v>Jun</v>
      </c>
      <c r="J609" s="222" t="str">
        <f t="shared" si="214"/>
        <v>FY25</v>
      </c>
      <c r="K609" s="222" t="s">
        <v>843</v>
      </c>
      <c r="L609" s="222" t="s">
        <v>844</v>
      </c>
      <c r="M609" s="222" t="s">
        <v>845</v>
      </c>
      <c r="N609" s="222" t="s">
        <v>846</v>
      </c>
      <c r="O609" s="222" t="s">
        <v>732</v>
      </c>
      <c r="P609" s="222" t="s">
        <v>575</v>
      </c>
      <c r="Q609" s="222" t="str">
        <f t="shared" si="215"/>
        <v>FCCS_ClosingBalance_Input</v>
      </c>
      <c r="R609" s="222" t="s">
        <v>169</v>
      </c>
      <c r="S609" s="222" t="s">
        <v>848</v>
      </c>
      <c r="T609" s="222" t="s">
        <v>850</v>
      </c>
    </row>
    <row r="610" spans="2:20" x14ac:dyDescent="0.3">
      <c r="B610" s="219" t="s">
        <v>1014</v>
      </c>
      <c r="C610" s="220" t="s">
        <v>38</v>
      </c>
      <c r="D610" s="221" t="str">
        <f>[2]!HsSetValue(E610,"FCC","Scenario#"&amp;R610&amp;";Years#"&amp;J610&amp;";Period#"&amp;I610&amp;";View#"&amp;S610&amp;";Entity#"&amp;H610&amp;";Data Source#"&amp;K610&amp;";Account#"&amp;F610&amp;";Intercompany#"&amp;L610&amp;";Movement#"&amp;Q610&amp;";Consolidation#"&amp;T610&amp;";Custom1#"&amp;M610&amp;";Custom2#"&amp;N610&amp;";Custom3#"&amp;O610&amp;";Custom4#"&amp;P610&amp;"")</f>
        <v>#Invalid Syntax</v>
      </c>
      <c r="E610" s="221">
        <f>SUMIFS('Investment Analysis'!$H$22:$H$69,'Investment Analysis'!$E$22:$E$69,"Municipal Bonds",'Investment Analysis'!$AK$22:$AK$69,"25")</f>
        <v>0</v>
      </c>
      <c r="F610" s="222" t="s">
        <v>675</v>
      </c>
      <c r="G610" s="222" t="s">
        <v>1033</v>
      </c>
      <c r="H610" s="223" t="e">
        <f>+H$2</f>
        <v>#N/A</v>
      </c>
      <c r="I610" s="223" t="str">
        <f t="shared" si="214"/>
        <v>Jun</v>
      </c>
      <c r="J610" s="222" t="str">
        <f t="shared" si="214"/>
        <v>FY25</v>
      </c>
      <c r="K610" s="222" t="s">
        <v>843</v>
      </c>
      <c r="L610" s="222" t="s">
        <v>844</v>
      </c>
      <c r="M610" s="222" t="s">
        <v>845</v>
      </c>
      <c r="N610" s="222" t="s">
        <v>846</v>
      </c>
      <c r="O610" s="222" t="s">
        <v>733</v>
      </c>
      <c r="P610" s="222" t="s">
        <v>575</v>
      </c>
      <c r="Q610" s="222" t="str">
        <f t="shared" si="215"/>
        <v>FCCS_ClosingBalance_Input</v>
      </c>
      <c r="R610" s="222" t="s">
        <v>169</v>
      </c>
      <c r="S610" s="222" t="s">
        <v>848</v>
      </c>
      <c r="T610" s="222" t="s">
        <v>850</v>
      </c>
    </row>
    <row r="611" spans="2:20" x14ac:dyDescent="0.3">
      <c r="B611" s="210"/>
      <c r="C611" s="211"/>
      <c r="D611" s="212"/>
      <c r="E611" s="212"/>
    </row>
    <row r="612" spans="2:20" x14ac:dyDescent="0.3">
      <c r="B612" s="364" t="s">
        <v>668</v>
      </c>
      <c r="C612" s="365" t="s">
        <v>414</v>
      </c>
      <c r="D612" s="366" t="str">
        <f>[2]!HsSetValue(E612,"FCC","Scenario#"&amp;R612&amp;";Years#"&amp;J612&amp;";Period#"&amp;I612&amp;";View#"&amp;S612&amp;";Entity#"&amp;H612&amp;";Data Source#"&amp;K612&amp;";Account#"&amp;F612&amp;";Intercompany#"&amp;L612&amp;";Movement#"&amp;Q612&amp;";Consolidation#"&amp;T612&amp;";Custom1#"&amp;M612&amp;";Custom2#"&amp;N612&amp;";Custom3#"&amp;O612&amp;";Custom4#"&amp;P612&amp;"")</f>
        <v>#Invalid Syntax</v>
      </c>
      <c r="E612" s="366">
        <f>SUMIF('Investment Analysis'!$E$22:$E$69,'FCC Investments - Load Tab'!C612,'Investment Analysis'!$K$22:$K$69)</f>
        <v>0</v>
      </c>
      <c r="F612" s="367" t="s">
        <v>673</v>
      </c>
      <c r="G612" s="367" t="s">
        <v>695</v>
      </c>
      <c r="H612" s="368" t="e">
        <f>+H$2</f>
        <v>#N/A</v>
      </c>
      <c r="I612" s="368" t="str">
        <f t="shared" ref="I612:I616" si="216">+I$2</f>
        <v>Jun</v>
      </c>
      <c r="J612" s="367" t="str">
        <f t="shared" si="214"/>
        <v>FY25</v>
      </c>
      <c r="K612" s="367" t="s">
        <v>843</v>
      </c>
      <c r="L612" s="367" t="s">
        <v>844</v>
      </c>
      <c r="M612" s="367" t="s">
        <v>845</v>
      </c>
      <c r="N612" s="367" t="s">
        <v>846</v>
      </c>
      <c r="O612" s="367" t="s">
        <v>721</v>
      </c>
      <c r="P612" s="367" t="s">
        <v>576</v>
      </c>
      <c r="Q612" s="367" t="str">
        <f t="shared" ref="Q612:Q616" si="217">Q$2</f>
        <v>FCCS_ClosingBalance_Input</v>
      </c>
      <c r="R612" s="367" t="s">
        <v>169</v>
      </c>
      <c r="S612" s="367" t="s">
        <v>848</v>
      </c>
      <c r="T612" s="367" t="s">
        <v>850</v>
      </c>
    </row>
    <row r="613" spans="2:20" x14ac:dyDescent="0.3">
      <c r="B613" s="364" t="s">
        <v>668</v>
      </c>
      <c r="C613" s="365" t="s">
        <v>414</v>
      </c>
      <c r="D613" s="366" t="str">
        <f>[2]!HsSetValue(E613,"FCC","Scenario#"&amp;R613&amp;";Years#"&amp;J613&amp;";Period#"&amp;I613&amp;";View#"&amp;S613&amp;";Entity#"&amp;H613&amp;";Data Source#"&amp;K613&amp;";Account#"&amp;F613&amp;";Intercompany#"&amp;L613&amp;";Movement#"&amp;Q613&amp;";Consolidation#"&amp;T613&amp;";Custom1#"&amp;M613&amp;";Custom2#"&amp;N613&amp;";Custom3#"&amp;O613&amp;";Custom4#"&amp;P613&amp;"")</f>
        <v>#Invalid Syntax</v>
      </c>
      <c r="E613" s="366">
        <f>SUMIF('Investment Analysis'!$E$22:$E$69,'FCC Investments - Load Tab'!C612,'Investment Analysis'!$L$22:$L$69)</f>
        <v>0</v>
      </c>
      <c r="F613" s="367" t="s">
        <v>673</v>
      </c>
      <c r="G613" s="367" t="s">
        <v>695</v>
      </c>
      <c r="H613" s="368" t="e">
        <f>+H$2</f>
        <v>#N/A</v>
      </c>
      <c r="I613" s="368" t="str">
        <f t="shared" si="216"/>
        <v>Jun</v>
      </c>
      <c r="J613" s="367" t="str">
        <f t="shared" si="214"/>
        <v>FY25</v>
      </c>
      <c r="K613" s="367" t="s">
        <v>843</v>
      </c>
      <c r="L613" s="367" t="s">
        <v>844</v>
      </c>
      <c r="M613" s="367" t="s">
        <v>845</v>
      </c>
      <c r="N613" s="367" t="s">
        <v>846</v>
      </c>
      <c r="O613" s="367" t="s">
        <v>722</v>
      </c>
      <c r="P613" s="367" t="s">
        <v>576</v>
      </c>
      <c r="Q613" s="367" t="str">
        <f t="shared" si="217"/>
        <v>FCCS_ClosingBalance_Input</v>
      </c>
      <c r="R613" s="367" t="s">
        <v>169</v>
      </c>
      <c r="S613" s="367" t="s">
        <v>848</v>
      </c>
      <c r="T613" s="367" t="s">
        <v>850</v>
      </c>
    </row>
    <row r="614" spans="2:20" x14ac:dyDescent="0.3">
      <c r="B614" s="364" t="s">
        <v>668</v>
      </c>
      <c r="C614" s="365" t="s">
        <v>414</v>
      </c>
      <c r="D614" s="366" t="str">
        <f>[2]!HsSetValue(E614,"FCC","Scenario#"&amp;R614&amp;";Years#"&amp;J614&amp;";Period#"&amp;I614&amp;";View#"&amp;S614&amp;";Entity#"&amp;H614&amp;";Data Source#"&amp;K614&amp;";Account#"&amp;F614&amp;";Intercompany#"&amp;L614&amp;";Movement#"&amp;Q614&amp;";Consolidation#"&amp;T614&amp;";Custom1#"&amp;M614&amp;";Custom2#"&amp;N614&amp;";Custom3#"&amp;O614&amp;";Custom4#"&amp;P614&amp;"")</f>
        <v>#Invalid Syntax</v>
      </c>
      <c r="E614" s="366">
        <f>SUMIF('Investment Analysis'!$E$22:$E$69,'FCC Investments - Load Tab'!C612,'Investment Analysis'!$M$22:$M$69)</f>
        <v>0</v>
      </c>
      <c r="F614" s="367" t="s">
        <v>673</v>
      </c>
      <c r="G614" s="367" t="s">
        <v>695</v>
      </c>
      <c r="H614" s="368" t="e">
        <f>+H$2</f>
        <v>#N/A</v>
      </c>
      <c r="I614" s="368" t="str">
        <f t="shared" si="216"/>
        <v>Jun</v>
      </c>
      <c r="J614" s="367" t="str">
        <f t="shared" si="214"/>
        <v>FY25</v>
      </c>
      <c r="K614" s="367" t="s">
        <v>843</v>
      </c>
      <c r="L614" s="367" t="s">
        <v>844</v>
      </c>
      <c r="M614" s="367" t="s">
        <v>845</v>
      </c>
      <c r="N614" s="367" t="s">
        <v>846</v>
      </c>
      <c r="O614" s="367" t="s">
        <v>723</v>
      </c>
      <c r="P614" s="367" t="s">
        <v>576</v>
      </c>
      <c r="Q614" s="367" t="str">
        <f t="shared" si="217"/>
        <v>FCCS_ClosingBalance_Input</v>
      </c>
      <c r="R614" s="367" t="s">
        <v>169</v>
      </c>
      <c r="S614" s="367" t="s">
        <v>848</v>
      </c>
      <c r="T614" s="367" t="s">
        <v>850</v>
      </c>
    </row>
    <row r="615" spans="2:20" x14ac:dyDescent="0.3">
      <c r="B615" s="364" t="s">
        <v>668</v>
      </c>
      <c r="C615" s="365" t="s">
        <v>414</v>
      </c>
      <c r="D615" s="366" t="str">
        <f>[2]!HsSetValue(E615,"FCC","Scenario#"&amp;R615&amp;";Years#"&amp;J615&amp;";Period#"&amp;I615&amp;";View#"&amp;S615&amp;";Entity#"&amp;H615&amp;";Data Source#"&amp;K615&amp;";Account#"&amp;F615&amp;";Intercompany#"&amp;L615&amp;";Movement#"&amp;Q615&amp;";Consolidation#"&amp;T615&amp;";Custom1#"&amp;M615&amp;";Custom2#"&amp;N615&amp;";Custom3#"&amp;O615&amp;";Custom4#"&amp;P615&amp;"")</f>
        <v>#Invalid Syntax</v>
      </c>
      <c r="E615" s="366">
        <f>SUMIF('Investment Analysis'!$E$22:$E$69,'FCC Investments - Load Tab'!C615,'Investment Analysis'!$N$22:$N$69)</f>
        <v>0</v>
      </c>
      <c r="F615" s="367" t="s">
        <v>673</v>
      </c>
      <c r="G615" s="367" t="s">
        <v>695</v>
      </c>
      <c r="H615" s="368" t="e">
        <f>+H$2</f>
        <v>#N/A</v>
      </c>
      <c r="I615" s="368" t="str">
        <f t="shared" si="216"/>
        <v>Jun</v>
      </c>
      <c r="J615" s="367" t="str">
        <f t="shared" si="214"/>
        <v>FY25</v>
      </c>
      <c r="K615" s="367" t="s">
        <v>843</v>
      </c>
      <c r="L615" s="367" t="s">
        <v>844</v>
      </c>
      <c r="M615" s="367" t="s">
        <v>845</v>
      </c>
      <c r="N615" s="367" t="s">
        <v>846</v>
      </c>
      <c r="O615" s="367" t="s">
        <v>724</v>
      </c>
      <c r="P615" s="367" t="s">
        <v>576</v>
      </c>
      <c r="Q615" s="367" t="str">
        <f t="shared" si="217"/>
        <v>FCCS_ClosingBalance_Input</v>
      </c>
      <c r="R615" s="367" t="s">
        <v>169</v>
      </c>
      <c r="S615" s="367" t="s">
        <v>848</v>
      </c>
      <c r="T615" s="367" t="s">
        <v>850</v>
      </c>
    </row>
    <row r="616" spans="2:20" x14ac:dyDescent="0.3">
      <c r="B616" s="364" t="s">
        <v>668</v>
      </c>
      <c r="C616" s="365" t="s">
        <v>414</v>
      </c>
      <c r="D616" s="366" t="str">
        <f>[2]!HsSetValue(E616,"FCC","Scenario#"&amp;R616&amp;";Years#"&amp;J616&amp;";Period#"&amp;I616&amp;";View#"&amp;S616&amp;";Entity#"&amp;H616&amp;";Data Source#"&amp;K616&amp;";Account#"&amp;F616&amp;";Intercompany#"&amp;L616&amp;";Movement#"&amp;Q616&amp;";Consolidation#"&amp;T616&amp;";Custom1#"&amp;M616&amp;";Custom2#"&amp;N616&amp;";Custom3#"&amp;O616&amp;";Custom4#"&amp;P616&amp;"")</f>
        <v>#Invalid Syntax</v>
      </c>
      <c r="E616" s="366">
        <f>SUMIF('Investment Analysis'!$E$2:$E$69,'FCC Investments - Load Tab'!C616,'Investment Analysis'!$O$2:$O$69)</f>
        <v>0</v>
      </c>
      <c r="F616" s="367" t="s">
        <v>673</v>
      </c>
      <c r="G616" s="367" t="s">
        <v>695</v>
      </c>
      <c r="H616" s="368" t="e">
        <f>+H$2</f>
        <v>#N/A</v>
      </c>
      <c r="I616" s="368" t="str">
        <f t="shared" si="216"/>
        <v>Jun</v>
      </c>
      <c r="J616" s="367" t="str">
        <f t="shared" si="214"/>
        <v>FY25</v>
      </c>
      <c r="K616" s="367" t="s">
        <v>843</v>
      </c>
      <c r="L616" s="367" t="s">
        <v>844</v>
      </c>
      <c r="M616" s="367" t="s">
        <v>845</v>
      </c>
      <c r="N616" s="367" t="s">
        <v>846</v>
      </c>
      <c r="O616" s="367" t="s">
        <v>725</v>
      </c>
      <c r="P616" s="367" t="s">
        <v>576</v>
      </c>
      <c r="Q616" s="367" t="str">
        <f t="shared" si="217"/>
        <v>FCCS_ClosingBalance_Input</v>
      </c>
      <c r="R616" s="367" t="s">
        <v>169</v>
      </c>
      <c r="S616" s="367" t="s">
        <v>848</v>
      </c>
      <c r="T616" s="367" t="s">
        <v>850</v>
      </c>
    </row>
    <row r="617" spans="2:20" x14ac:dyDescent="0.3">
      <c r="B617" s="210"/>
      <c r="C617" s="211"/>
      <c r="D617" s="212"/>
      <c r="E617" s="212"/>
    </row>
    <row r="618" spans="2:20" x14ac:dyDescent="0.3">
      <c r="B618" s="214" t="s">
        <v>667</v>
      </c>
      <c r="C618" s="215" t="s">
        <v>414</v>
      </c>
      <c r="D618" s="216" t="str">
        <f>[2]!HsSetValue(E618,"FCC","Scenario#"&amp;R618&amp;";Years#"&amp;J618&amp;";Period#"&amp;I618&amp;";View#"&amp;S618&amp;";Entity#"&amp;H618&amp;";Data Source#"&amp;K618&amp;";Account#"&amp;F618&amp;";Intercompany#"&amp;L618&amp;";Movement#"&amp;Q618&amp;";Consolidation#"&amp;T618&amp;";Custom1#"&amp;M618&amp;";Custom2#"&amp;N618&amp;";Custom3#"&amp;O618&amp;";Custom4#"&amp;P618&amp;"")</f>
        <v>#Invalid Syntax</v>
      </c>
      <c r="E618" s="216">
        <f>SUMIFS('Investment Analysis'!$H$22:$H$69,'Investment Analysis'!$E$22:$E$69,"Mutual Funds Debt",'Investment Analysis'!$AB$22:$AB$69,"10")</f>
        <v>0</v>
      </c>
      <c r="F618" s="217" t="s">
        <v>674</v>
      </c>
      <c r="G618" s="217" t="s">
        <v>1063</v>
      </c>
      <c r="H618" s="218" t="e">
        <f t="shared" ref="H618:N633" si="218">+H$2</f>
        <v>#N/A</v>
      </c>
      <c r="I618" s="218" t="str">
        <f t="shared" si="218"/>
        <v>Jun</v>
      </c>
      <c r="J618" s="217" t="str">
        <f t="shared" si="214"/>
        <v>FY25</v>
      </c>
      <c r="K618" s="217" t="s">
        <v>843</v>
      </c>
      <c r="L618" s="217" t="s">
        <v>844</v>
      </c>
      <c r="M618" s="217" t="s">
        <v>845</v>
      </c>
      <c r="N618" s="217" t="s">
        <v>846</v>
      </c>
      <c r="O618" s="217" t="s">
        <v>433</v>
      </c>
      <c r="P618" s="217" t="s">
        <v>576</v>
      </c>
      <c r="Q618" s="217" t="str">
        <f t="shared" ref="Q618:Q631" si="219">Q$2</f>
        <v>FCCS_ClosingBalance_Input</v>
      </c>
      <c r="R618" s="217" t="s">
        <v>169</v>
      </c>
      <c r="S618" s="217" t="s">
        <v>848</v>
      </c>
      <c r="T618" s="217" t="s">
        <v>850</v>
      </c>
    </row>
    <row r="619" spans="2:20" x14ac:dyDescent="0.3">
      <c r="B619" s="214" t="s">
        <v>667</v>
      </c>
      <c r="C619" s="215" t="s">
        <v>414</v>
      </c>
      <c r="D619" s="216" t="str">
        <f>[2]!HsSetValue(E619,"FCC","Scenario#"&amp;R619&amp;";Years#"&amp;J619&amp;";Period#"&amp;I619&amp;";View#"&amp;S619&amp;";Entity#"&amp;H619&amp;";Data Source#"&amp;K619&amp;";Account#"&amp;F619&amp;";Intercompany#"&amp;L619&amp;";Movement#"&amp;Q619&amp;";Consolidation#"&amp;T619&amp;";Custom1#"&amp;M619&amp;";Custom2#"&amp;N619&amp;";Custom3#"&amp;O619&amp;";Custom4#"&amp;P619&amp;"")</f>
        <v>#Invalid Syntax</v>
      </c>
      <c r="E619" s="216">
        <f>SUMIFS('Investment Analysis'!$H$22:$H$69,'Investment Analysis'!$E$22:$E$69,"Mutual Funds Debt",'Investment Analysis'!$AB$22:$AB$69,"9")</f>
        <v>0</v>
      </c>
      <c r="F619" s="217" t="s">
        <v>674</v>
      </c>
      <c r="G619" s="217" t="s">
        <v>1063</v>
      </c>
      <c r="H619" s="218" t="e">
        <f t="shared" si="218"/>
        <v>#N/A</v>
      </c>
      <c r="I619" s="218" t="str">
        <f t="shared" si="218"/>
        <v>Jun</v>
      </c>
      <c r="J619" s="217" t="str">
        <f t="shared" si="214"/>
        <v>FY25</v>
      </c>
      <c r="K619" s="217" t="s">
        <v>843</v>
      </c>
      <c r="L619" s="217" t="s">
        <v>844</v>
      </c>
      <c r="M619" s="217" t="s">
        <v>845</v>
      </c>
      <c r="N619" s="217" t="s">
        <v>846</v>
      </c>
      <c r="O619" s="217" t="s">
        <v>596</v>
      </c>
      <c r="P619" s="217" t="s">
        <v>576</v>
      </c>
      <c r="Q619" s="217" t="str">
        <f t="shared" si="219"/>
        <v>FCCS_ClosingBalance_Input</v>
      </c>
      <c r="R619" s="217" t="s">
        <v>169</v>
      </c>
      <c r="S619" s="217" t="s">
        <v>848</v>
      </c>
      <c r="T619" s="217" t="s">
        <v>850</v>
      </c>
    </row>
    <row r="620" spans="2:20" x14ac:dyDescent="0.3">
      <c r="B620" s="214" t="s">
        <v>667</v>
      </c>
      <c r="C620" s="215" t="s">
        <v>414</v>
      </c>
      <c r="D620" s="216" t="str">
        <f>[2]!HsSetValue(E620,"FCC","Scenario#"&amp;R620&amp;";Years#"&amp;J620&amp;";Period#"&amp;I620&amp;";View#"&amp;S620&amp;";Entity#"&amp;H620&amp;";Data Source#"&amp;K620&amp;";Account#"&amp;F620&amp;";Intercompany#"&amp;L620&amp;";Movement#"&amp;Q620&amp;";Consolidation#"&amp;T620&amp;";Custom1#"&amp;M620&amp;";Custom2#"&amp;N620&amp;";Custom3#"&amp;O620&amp;";Custom4#"&amp;P620&amp;"")</f>
        <v>#Invalid Syntax</v>
      </c>
      <c r="E620" s="216">
        <f>SUMIFS('Investment Analysis'!$H$22:$H$69,'Investment Analysis'!$E$22:$E$69,"Mutual Funds Debt",'Investment Analysis'!$AB$22:$AB$69,"8")</f>
        <v>0</v>
      </c>
      <c r="F620" s="217" t="s">
        <v>674</v>
      </c>
      <c r="G620" s="217" t="s">
        <v>1063</v>
      </c>
      <c r="H620" s="218" t="e">
        <f t="shared" si="218"/>
        <v>#N/A</v>
      </c>
      <c r="I620" s="218" t="str">
        <f t="shared" si="218"/>
        <v>Jun</v>
      </c>
      <c r="J620" s="217" t="str">
        <f t="shared" si="214"/>
        <v>FY25</v>
      </c>
      <c r="K620" s="217" t="s">
        <v>843</v>
      </c>
      <c r="L620" s="217" t="s">
        <v>844</v>
      </c>
      <c r="M620" s="217" t="s">
        <v>845</v>
      </c>
      <c r="N620" s="217" t="s">
        <v>846</v>
      </c>
      <c r="O620" s="217" t="s">
        <v>61</v>
      </c>
      <c r="P620" s="217" t="s">
        <v>576</v>
      </c>
      <c r="Q620" s="217" t="str">
        <f t="shared" si="219"/>
        <v>FCCS_ClosingBalance_Input</v>
      </c>
      <c r="R620" s="217" t="s">
        <v>169</v>
      </c>
      <c r="S620" s="217" t="s">
        <v>848</v>
      </c>
      <c r="T620" s="217" t="s">
        <v>850</v>
      </c>
    </row>
    <row r="621" spans="2:20" x14ac:dyDescent="0.3">
      <c r="B621" s="214" t="s">
        <v>667</v>
      </c>
      <c r="C621" s="215" t="s">
        <v>414</v>
      </c>
      <c r="D621" s="216" t="str">
        <f>[2]!HsSetValue(E621,"FCC","Scenario#"&amp;R621&amp;";Years#"&amp;J621&amp;";Period#"&amp;I621&amp;";View#"&amp;S621&amp;";Entity#"&amp;H621&amp;";Data Source#"&amp;K621&amp;";Account#"&amp;F621&amp;";Intercompany#"&amp;L621&amp;";Movement#"&amp;Q621&amp;";Consolidation#"&amp;T621&amp;";Custom1#"&amp;M621&amp;";Custom2#"&amp;N621&amp;";Custom3#"&amp;O621&amp;";Custom4#"&amp;P621&amp;"")</f>
        <v>#Invalid Syntax</v>
      </c>
      <c r="E621" s="216">
        <f>SUMIFS('Investment Analysis'!$H$22:$H$69,'Investment Analysis'!$E$22:$E$69,"Mutual Funds Debt",'Investment Analysis'!$AB$22:$AB$69,"7")</f>
        <v>0</v>
      </c>
      <c r="F621" s="217" t="s">
        <v>674</v>
      </c>
      <c r="G621" s="217" t="s">
        <v>1063</v>
      </c>
      <c r="H621" s="218" t="e">
        <f t="shared" si="218"/>
        <v>#N/A</v>
      </c>
      <c r="I621" s="218" t="str">
        <f t="shared" si="218"/>
        <v>Jun</v>
      </c>
      <c r="J621" s="217" t="str">
        <f t="shared" si="214"/>
        <v>FY25</v>
      </c>
      <c r="K621" s="217" t="s">
        <v>843</v>
      </c>
      <c r="L621" s="217" t="s">
        <v>844</v>
      </c>
      <c r="M621" s="217" t="s">
        <v>845</v>
      </c>
      <c r="N621" s="217" t="s">
        <v>846</v>
      </c>
      <c r="O621" s="217" t="s">
        <v>62</v>
      </c>
      <c r="P621" s="217" t="s">
        <v>576</v>
      </c>
      <c r="Q621" s="217" t="str">
        <f t="shared" si="219"/>
        <v>FCCS_ClosingBalance_Input</v>
      </c>
      <c r="R621" s="217" t="s">
        <v>169</v>
      </c>
      <c r="S621" s="217" t="s">
        <v>848</v>
      </c>
      <c r="T621" s="217" t="s">
        <v>850</v>
      </c>
    </row>
    <row r="622" spans="2:20" x14ac:dyDescent="0.3">
      <c r="B622" s="214" t="s">
        <v>667</v>
      </c>
      <c r="C622" s="215" t="s">
        <v>414</v>
      </c>
      <c r="D622" s="216" t="str">
        <f>[2]!HsSetValue(E622,"FCC","Scenario#"&amp;R622&amp;";Years#"&amp;J622&amp;";Period#"&amp;I622&amp;";View#"&amp;S622&amp;";Entity#"&amp;H622&amp;";Data Source#"&amp;K622&amp;";Account#"&amp;F622&amp;";Intercompany#"&amp;L622&amp;";Movement#"&amp;Q622&amp;";Consolidation#"&amp;T622&amp;";Custom1#"&amp;M622&amp;";Custom2#"&amp;N622&amp;";Custom3#"&amp;O622&amp;";Custom4#"&amp;P622&amp;"")</f>
        <v>#Invalid Syntax</v>
      </c>
      <c r="E622" s="216">
        <f>SUMIFS('Investment Analysis'!$H$22:$H$69,'Investment Analysis'!$E$22:$E$69,"Mutual Funds Debt",'Investment Analysis'!$AB$22:$AB$69,"6")</f>
        <v>0</v>
      </c>
      <c r="F622" s="217" t="s">
        <v>674</v>
      </c>
      <c r="G622" s="217" t="s">
        <v>1063</v>
      </c>
      <c r="H622" s="218" t="e">
        <f t="shared" si="218"/>
        <v>#N/A</v>
      </c>
      <c r="I622" s="218" t="str">
        <f t="shared" si="218"/>
        <v>Jun</v>
      </c>
      <c r="J622" s="217" t="str">
        <f t="shared" si="218"/>
        <v>FY25</v>
      </c>
      <c r="K622" s="217" t="s">
        <v>843</v>
      </c>
      <c r="L622" s="217" t="s">
        <v>844</v>
      </c>
      <c r="M622" s="217" t="s">
        <v>845</v>
      </c>
      <c r="N622" s="217" t="s">
        <v>846</v>
      </c>
      <c r="O622" s="217" t="s">
        <v>436</v>
      </c>
      <c r="P622" s="217" t="s">
        <v>576</v>
      </c>
      <c r="Q622" s="217" t="str">
        <f t="shared" si="219"/>
        <v>FCCS_ClosingBalance_Input</v>
      </c>
      <c r="R622" s="217" t="s">
        <v>169</v>
      </c>
      <c r="S622" s="217" t="s">
        <v>848</v>
      </c>
      <c r="T622" s="217" t="s">
        <v>850</v>
      </c>
    </row>
    <row r="623" spans="2:20" s="371" customFormat="1" x14ac:dyDescent="0.3">
      <c r="B623" s="214" t="s">
        <v>667</v>
      </c>
      <c r="C623" s="215" t="s">
        <v>414</v>
      </c>
      <c r="D623" s="216" t="str">
        <f>[2]!HsSetValue(E623,"FCC","Scenario#"&amp;R623&amp;";Years#"&amp;J623&amp;";Period#"&amp;I623&amp;";View#"&amp;S623&amp;";Entity#"&amp;H623&amp;";Data Source#"&amp;K623&amp;";Account#"&amp;F623&amp;";Intercompany#"&amp;L623&amp;";Movement#"&amp;Q623&amp;";Consolidation#"&amp;T623&amp;";Custom1#"&amp;M623&amp;";Custom2#"&amp;N623&amp;";Custom3#"&amp;O623&amp;";Custom4#"&amp;P623&amp;"")</f>
        <v>#Invalid Syntax</v>
      </c>
      <c r="E623" s="216">
        <f>SUMIFS('Investment Analysis'!$H$22:$H$69,'Investment Analysis'!$E$22:$E$69,"Mutual Funds Debt",'Investment Analysis'!$AB$22:$AB$69,"5")</f>
        <v>0</v>
      </c>
      <c r="F623" s="217" t="s">
        <v>674</v>
      </c>
      <c r="G623" s="217" t="s">
        <v>1063</v>
      </c>
      <c r="H623" s="218" t="e">
        <f t="shared" si="218"/>
        <v>#N/A</v>
      </c>
      <c r="I623" s="218" t="str">
        <f t="shared" si="218"/>
        <v>Jun</v>
      </c>
      <c r="J623" s="217" t="str">
        <f t="shared" si="218"/>
        <v>FY25</v>
      </c>
      <c r="K623" s="217" t="str">
        <f t="shared" si="218"/>
        <v>FCCS_Other Data</v>
      </c>
      <c r="L623" s="217" t="str">
        <f t="shared" si="218"/>
        <v>FCCS_No Intercompany</v>
      </c>
      <c r="M623" s="217" t="str">
        <f>+M$1</f>
        <v>No Custom1</v>
      </c>
      <c r="N623" s="217" t="str">
        <f t="shared" si="218"/>
        <v>No Custom2</v>
      </c>
      <c r="O623" s="217" t="s">
        <v>434</v>
      </c>
      <c r="P623" s="217" t="s">
        <v>576</v>
      </c>
      <c r="Q623" s="217" t="str">
        <f t="shared" si="219"/>
        <v>FCCS_ClosingBalance_Input</v>
      </c>
      <c r="R623" s="217" t="str">
        <f t="shared" ref="R623:S627" si="220">+R$2</f>
        <v>Actual</v>
      </c>
      <c r="S623" s="217" t="str">
        <f t="shared" si="220"/>
        <v>FCCS_YTD_Input</v>
      </c>
      <c r="T623" s="217" t="s">
        <v>850</v>
      </c>
    </row>
    <row r="624" spans="2:20" s="371" customFormat="1" x14ac:dyDescent="0.3">
      <c r="B624" s="214" t="s">
        <v>667</v>
      </c>
      <c r="C624" s="215" t="s">
        <v>414</v>
      </c>
      <c r="D624" s="216" t="str">
        <f>[2]!HsSetValue(E624,"FCC","Scenario#"&amp;R624&amp;";Years#"&amp;J624&amp;";Period#"&amp;I624&amp;";View#"&amp;S624&amp;";Entity#"&amp;H624&amp;";Data Source#"&amp;K624&amp;";Account#"&amp;F624&amp;";Intercompany#"&amp;L624&amp;";Movement#"&amp;Q624&amp;";Consolidation#"&amp;T624&amp;";Custom1#"&amp;M624&amp;";Custom2#"&amp;N624&amp;";Custom3#"&amp;O624&amp;";Custom4#"&amp;P624&amp;"")</f>
        <v>#Invalid Syntax</v>
      </c>
      <c r="E624" s="216">
        <f>SUMIFS('Investment Analysis'!$H$22:$H$69,'Investment Analysis'!$E$22:$E$69,"Mutual Funds Debt",'Investment Analysis'!$AB$22:$AB$69,"4")</f>
        <v>0</v>
      </c>
      <c r="F624" s="217" t="s">
        <v>674</v>
      </c>
      <c r="G624" s="217" t="s">
        <v>1063</v>
      </c>
      <c r="H624" s="218" t="e">
        <f t="shared" si="218"/>
        <v>#N/A</v>
      </c>
      <c r="I624" s="218" t="str">
        <f t="shared" si="218"/>
        <v>Jun</v>
      </c>
      <c r="J624" s="217" t="str">
        <f t="shared" si="218"/>
        <v>FY25</v>
      </c>
      <c r="K624" s="217" t="str">
        <f t="shared" si="218"/>
        <v>FCCS_Other Data</v>
      </c>
      <c r="L624" s="217" t="str">
        <f t="shared" si="218"/>
        <v>FCCS_No Intercompany</v>
      </c>
      <c r="M624" s="217" t="str">
        <f>+M$1</f>
        <v>No Custom1</v>
      </c>
      <c r="N624" s="217" t="str">
        <f t="shared" si="218"/>
        <v>No Custom2</v>
      </c>
      <c r="O624" s="217" t="s">
        <v>63</v>
      </c>
      <c r="P624" s="217" t="s">
        <v>576</v>
      </c>
      <c r="Q624" s="217" t="str">
        <f t="shared" si="219"/>
        <v>FCCS_ClosingBalance_Input</v>
      </c>
      <c r="R624" s="217" t="str">
        <f t="shared" si="220"/>
        <v>Actual</v>
      </c>
      <c r="S624" s="217" t="str">
        <f t="shared" si="220"/>
        <v>FCCS_YTD_Input</v>
      </c>
      <c r="T624" s="217" t="s">
        <v>850</v>
      </c>
    </row>
    <row r="625" spans="2:20" s="371" customFormat="1" x14ac:dyDescent="0.3">
      <c r="B625" s="214" t="s">
        <v>667</v>
      </c>
      <c r="C625" s="215" t="s">
        <v>414</v>
      </c>
      <c r="D625" s="216" t="str">
        <f>[2]!HsSetValue(E625,"FCC","Scenario#"&amp;R625&amp;";Years#"&amp;J625&amp;";Period#"&amp;I625&amp;";View#"&amp;S625&amp;";Entity#"&amp;H625&amp;";Data Source#"&amp;K625&amp;";Account#"&amp;F625&amp;";Intercompany#"&amp;L625&amp;";Movement#"&amp;Q625&amp;";Consolidation#"&amp;T625&amp;";Custom1#"&amp;M625&amp;";Custom2#"&amp;N625&amp;";Custom3#"&amp;O625&amp;";Custom4#"&amp;P625&amp;"")</f>
        <v>#Invalid Syntax</v>
      </c>
      <c r="E625" s="216">
        <f>SUMIFS('Investment Analysis'!$H$22:$H$69,'Investment Analysis'!$E$22:$E$69,"Mutual Funds Debt",'Investment Analysis'!$AB$22:$AB$69,"3")</f>
        <v>0</v>
      </c>
      <c r="F625" s="217" t="s">
        <v>674</v>
      </c>
      <c r="G625" s="217" t="s">
        <v>1063</v>
      </c>
      <c r="H625" s="218" t="e">
        <f t="shared" si="218"/>
        <v>#N/A</v>
      </c>
      <c r="I625" s="218" t="str">
        <f t="shared" si="218"/>
        <v>Jun</v>
      </c>
      <c r="J625" s="217" t="str">
        <f t="shared" si="218"/>
        <v>FY25</v>
      </c>
      <c r="K625" s="217" t="str">
        <f t="shared" si="218"/>
        <v>FCCS_Other Data</v>
      </c>
      <c r="L625" s="217" t="str">
        <f t="shared" si="218"/>
        <v>FCCS_No Intercompany</v>
      </c>
      <c r="M625" s="217" t="str">
        <f>+M$1</f>
        <v>No Custom1</v>
      </c>
      <c r="N625" s="217" t="str">
        <f t="shared" si="218"/>
        <v>No Custom2</v>
      </c>
      <c r="O625" s="217" t="s">
        <v>622</v>
      </c>
      <c r="P625" s="217" t="s">
        <v>576</v>
      </c>
      <c r="Q625" s="217" t="str">
        <f t="shared" si="219"/>
        <v>FCCS_ClosingBalance_Input</v>
      </c>
      <c r="R625" s="217" t="str">
        <f t="shared" si="220"/>
        <v>Actual</v>
      </c>
      <c r="S625" s="217" t="str">
        <f t="shared" si="220"/>
        <v>FCCS_YTD_Input</v>
      </c>
      <c r="T625" s="217" t="s">
        <v>850</v>
      </c>
    </row>
    <row r="626" spans="2:20" s="371" customFormat="1" x14ac:dyDescent="0.3">
      <c r="B626" s="214" t="s">
        <v>667</v>
      </c>
      <c r="C626" s="215" t="s">
        <v>414</v>
      </c>
      <c r="D626" s="216" t="str">
        <f>[2]!HsSetValue(E626,"FCC","Scenario#"&amp;R626&amp;";Years#"&amp;J626&amp;";Period#"&amp;I626&amp;";View#"&amp;S626&amp;";Entity#"&amp;H626&amp;";Data Source#"&amp;K626&amp;";Account#"&amp;F626&amp;";Intercompany#"&amp;L626&amp;";Movement#"&amp;Q626&amp;";Consolidation#"&amp;T626&amp;";Custom1#"&amp;M626&amp;";Custom2#"&amp;N626&amp;";Custom3#"&amp;O626&amp;";Custom4#"&amp;P626&amp;"")</f>
        <v>#Invalid Syntax</v>
      </c>
      <c r="E626" s="216">
        <f>SUMIFS('Investment Analysis'!$H$22:$H$69,'Investment Analysis'!$E$22:$E$69,"Mutual Funds Debt",'Investment Analysis'!$AB$22:$AB$69,"2")</f>
        <v>0</v>
      </c>
      <c r="F626" s="217" t="s">
        <v>674</v>
      </c>
      <c r="G626" s="217" t="s">
        <v>1063</v>
      </c>
      <c r="H626" s="218" t="e">
        <f t="shared" si="218"/>
        <v>#N/A</v>
      </c>
      <c r="I626" s="218" t="str">
        <f t="shared" si="218"/>
        <v>Jun</v>
      </c>
      <c r="J626" s="217" t="str">
        <f t="shared" si="218"/>
        <v>FY25</v>
      </c>
      <c r="K626" s="217" t="str">
        <f t="shared" si="218"/>
        <v>FCCS_Other Data</v>
      </c>
      <c r="L626" s="217" t="str">
        <f t="shared" si="218"/>
        <v>FCCS_No Intercompany</v>
      </c>
      <c r="M626" s="217" t="str">
        <f>+M$1</f>
        <v>No Custom1</v>
      </c>
      <c r="N626" s="217" t="str">
        <f t="shared" si="218"/>
        <v>No Custom2</v>
      </c>
      <c r="O626" s="217" t="s">
        <v>618</v>
      </c>
      <c r="P626" s="217" t="s">
        <v>576</v>
      </c>
      <c r="Q626" s="217" t="str">
        <f t="shared" si="219"/>
        <v>FCCS_ClosingBalance_Input</v>
      </c>
      <c r="R626" s="217" t="str">
        <f t="shared" si="220"/>
        <v>Actual</v>
      </c>
      <c r="S626" s="217" t="str">
        <f t="shared" si="220"/>
        <v>FCCS_YTD_Input</v>
      </c>
      <c r="T626" s="217" t="s">
        <v>850</v>
      </c>
    </row>
    <row r="627" spans="2:20" s="371" customFormat="1" x14ac:dyDescent="0.3">
      <c r="B627" s="214" t="s">
        <v>667</v>
      </c>
      <c r="C627" s="215" t="s">
        <v>414</v>
      </c>
      <c r="D627" s="216" t="str">
        <f>[2]!HsSetValue(E627,"FCC","Scenario#"&amp;R627&amp;";Years#"&amp;J627&amp;";Period#"&amp;I627&amp;";View#"&amp;S627&amp;";Entity#"&amp;H627&amp;";Data Source#"&amp;K627&amp;";Account#"&amp;F627&amp;";Intercompany#"&amp;L627&amp;";Movement#"&amp;Q627&amp;";Consolidation#"&amp;T627&amp;";Custom1#"&amp;M627&amp;";Custom2#"&amp;N627&amp;";Custom3#"&amp;O627&amp;";Custom4#"&amp;P627&amp;"")</f>
        <v>#Invalid Syntax</v>
      </c>
      <c r="E627" s="216">
        <f>SUMIFS('Investment Analysis'!$H$22:$H$69,'Investment Analysis'!$E$22:$E$69,"Mutual Funds Debt",'Investment Analysis'!$AB$22:$AB$69,"1")</f>
        <v>0</v>
      </c>
      <c r="F627" s="217" t="s">
        <v>674</v>
      </c>
      <c r="G627" s="217" t="s">
        <v>1063</v>
      </c>
      <c r="H627" s="218" t="e">
        <f t="shared" si="218"/>
        <v>#N/A</v>
      </c>
      <c r="I627" s="218" t="str">
        <f t="shared" si="218"/>
        <v>Jun</v>
      </c>
      <c r="J627" s="217" t="str">
        <f t="shared" si="218"/>
        <v>FY25</v>
      </c>
      <c r="K627" s="217" t="str">
        <f t="shared" si="218"/>
        <v>FCCS_Other Data</v>
      </c>
      <c r="L627" s="217" t="str">
        <f t="shared" si="218"/>
        <v>FCCS_No Intercompany</v>
      </c>
      <c r="M627" s="217" t="str">
        <f>+M$1</f>
        <v>No Custom1</v>
      </c>
      <c r="N627" s="217" t="str">
        <f t="shared" si="218"/>
        <v>No Custom2</v>
      </c>
      <c r="O627" s="217" t="s">
        <v>64</v>
      </c>
      <c r="P627" s="217" t="s">
        <v>576</v>
      </c>
      <c r="Q627" s="217" t="str">
        <f t="shared" si="219"/>
        <v>FCCS_ClosingBalance_Input</v>
      </c>
      <c r="R627" s="217" t="str">
        <f t="shared" si="220"/>
        <v>Actual</v>
      </c>
      <c r="S627" s="217" t="str">
        <f t="shared" si="220"/>
        <v>FCCS_YTD_Input</v>
      </c>
      <c r="T627" s="217" t="s">
        <v>850</v>
      </c>
    </row>
    <row r="628" spans="2:20" x14ac:dyDescent="0.3">
      <c r="B628" s="214" t="s">
        <v>667</v>
      </c>
      <c r="C628" s="215" t="s">
        <v>414</v>
      </c>
      <c r="D628" s="216" t="str">
        <f>[2]!HsSetValue(E628,"FCC","Scenario#"&amp;R628&amp;";Years#"&amp;J628&amp;";Period#"&amp;I628&amp;";View#"&amp;S628&amp;";Entity#"&amp;H628&amp;";Data Source#"&amp;K628&amp;";Account#"&amp;F628&amp;";Intercompany#"&amp;L628&amp;";Movement#"&amp;Q628&amp;";Consolidation#"&amp;T628&amp;";Custom1#"&amp;M628&amp;";Custom2#"&amp;N628&amp;";Custom3#"&amp;O628&amp;";Custom4#"&amp;P628&amp;"")</f>
        <v>#Invalid Syntax</v>
      </c>
      <c r="E628" s="216">
        <f>SUMIFS('Investment Analysis'!$H$22:$H$69,'Investment Analysis'!$E$22:$E$69,"Mutual Funds Debt",'Investment Analysis'!$AI$22:$AI$69,"16")</f>
        <v>0</v>
      </c>
      <c r="F628" s="217" t="s">
        <v>674</v>
      </c>
      <c r="G628" s="217" t="s">
        <v>1063</v>
      </c>
      <c r="H628" s="218" t="e">
        <f t="shared" si="218"/>
        <v>#N/A</v>
      </c>
      <c r="I628" s="218" t="str">
        <f t="shared" si="218"/>
        <v>Jun</v>
      </c>
      <c r="J628" s="217" t="str">
        <f t="shared" si="218"/>
        <v>FY25</v>
      </c>
      <c r="K628" s="217" t="s">
        <v>843</v>
      </c>
      <c r="L628" s="217" t="s">
        <v>844</v>
      </c>
      <c r="M628" s="217" t="s">
        <v>845</v>
      </c>
      <c r="N628" s="217" t="s">
        <v>846</v>
      </c>
      <c r="O628" s="217" t="s">
        <v>726</v>
      </c>
      <c r="P628" s="217" t="s">
        <v>576</v>
      </c>
      <c r="Q628" s="217" t="str">
        <f t="shared" si="219"/>
        <v>FCCS_ClosingBalance_Input</v>
      </c>
      <c r="R628" s="217" t="s">
        <v>169</v>
      </c>
      <c r="S628" s="217" t="s">
        <v>848</v>
      </c>
      <c r="T628" s="217" t="s">
        <v>850</v>
      </c>
    </row>
    <row r="629" spans="2:20" x14ac:dyDescent="0.3">
      <c r="B629" s="214" t="s">
        <v>667</v>
      </c>
      <c r="C629" s="215" t="s">
        <v>414</v>
      </c>
      <c r="D629" s="216" t="str">
        <f>[2]!HsSetValue(E629,"FCC","Scenario#"&amp;R629&amp;";Years#"&amp;J629&amp;";Period#"&amp;I629&amp;";View#"&amp;S629&amp;";Entity#"&amp;H629&amp;";Data Source#"&amp;K629&amp;";Account#"&amp;F629&amp;";Intercompany#"&amp;L629&amp;";Movement#"&amp;Q629&amp;";Consolidation#"&amp;T629&amp;";Custom1#"&amp;M629&amp;";Custom2#"&amp;N629&amp;";Custom3#"&amp;O629&amp;";Custom4#"&amp;P629&amp;"")</f>
        <v>#Invalid Syntax</v>
      </c>
      <c r="E629" s="216">
        <f>SUMIFS('Investment Analysis'!$H$22:$H$69,'Investment Analysis'!$E$22:$E$69,"Mutual Funds Debt",'Investment Analysis'!$AI$22:$AI$69,"15")</f>
        <v>0</v>
      </c>
      <c r="F629" s="217" t="s">
        <v>674</v>
      </c>
      <c r="G629" s="217" t="s">
        <v>1063</v>
      </c>
      <c r="H629" s="218" t="e">
        <f t="shared" si="218"/>
        <v>#N/A</v>
      </c>
      <c r="I629" s="218" t="str">
        <f t="shared" si="218"/>
        <v>Jun</v>
      </c>
      <c r="J629" s="217" t="str">
        <f t="shared" si="218"/>
        <v>FY25</v>
      </c>
      <c r="K629" s="217" t="s">
        <v>843</v>
      </c>
      <c r="L629" s="217" t="s">
        <v>844</v>
      </c>
      <c r="M629" s="217" t="s">
        <v>845</v>
      </c>
      <c r="N629" s="217" t="s">
        <v>846</v>
      </c>
      <c r="O629" s="217" t="s">
        <v>727</v>
      </c>
      <c r="P629" s="217" t="s">
        <v>576</v>
      </c>
      <c r="Q629" s="217" t="str">
        <f t="shared" si="219"/>
        <v>FCCS_ClosingBalance_Input</v>
      </c>
      <c r="R629" s="217" t="s">
        <v>169</v>
      </c>
      <c r="S629" s="217" t="s">
        <v>848</v>
      </c>
      <c r="T629" s="217" t="s">
        <v>850</v>
      </c>
    </row>
    <row r="630" spans="2:20" x14ac:dyDescent="0.3">
      <c r="B630" s="214" t="s">
        <v>667</v>
      </c>
      <c r="C630" s="215" t="s">
        <v>414</v>
      </c>
      <c r="D630" s="216" t="str">
        <f>[2]!HsSetValue(E630,"FCC","Scenario#"&amp;R630&amp;";Years#"&amp;J630&amp;";Period#"&amp;I630&amp;";View#"&amp;S630&amp;";Entity#"&amp;H630&amp;";Data Source#"&amp;K630&amp;";Account#"&amp;F630&amp;";Intercompany#"&amp;L630&amp;";Movement#"&amp;Q630&amp;";Consolidation#"&amp;T630&amp;";Custom1#"&amp;M630&amp;";Custom2#"&amp;N630&amp;";Custom3#"&amp;O630&amp;";Custom4#"&amp;P630&amp;"")</f>
        <v>#Invalid Syntax</v>
      </c>
      <c r="E630" s="216">
        <f>SUMIFS('Investment Analysis'!$H$22:$H$69,'Investment Analysis'!$E$22:$E$69,"Mutual Funds Debt",'Investment Analysis'!$AI$22:$AI$69,"14")</f>
        <v>0</v>
      </c>
      <c r="F630" s="217" t="s">
        <v>674</v>
      </c>
      <c r="G630" s="217" t="s">
        <v>1063</v>
      </c>
      <c r="H630" s="218" t="e">
        <f t="shared" si="218"/>
        <v>#N/A</v>
      </c>
      <c r="I630" s="218" t="str">
        <f t="shared" si="218"/>
        <v>Jun</v>
      </c>
      <c r="J630" s="217" t="str">
        <f t="shared" si="218"/>
        <v>FY25</v>
      </c>
      <c r="K630" s="217" t="s">
        <v>843</v>
      </c>
      <c r="L630" s="217" t="s">
        <v>844</v>
      </c>
      <c r="M630" s="217" t="s">
        <v>845</v>
      </c>
      <c r="N630" s="217" t="s">
        <v>846</v>
      </c>
      <c r="O630" s="217" t="s">
        <v>728</v>
      </c>
      <c r="P630" s="217" t="s">
        <v>576</v>
      </c>
      <c r="Q630" s="217" t="str">
        <f t="shared" si="219"/>
        <v>FCCS_ClosingBalance_Input</v>
      </c>
      <c r="R630" s="217" t="s">
        <v>169</v>
      </c>
      <c r="S630" s="217" t="s">
        <v>848</v>
      </c>
      <c r="T630" s="217" t="s">
        <v>850</v>
      </c>
    </row>
    <row r="631" spans="2:20" x14ac:dyDescent="0.3">
      <c r="B631" s="214" t="s">
        <v>667</v>
      </c>
      <c r="C631" s="215" t="s">
        <v>414</v>
      </c>
      <c r="D631" s="216" t="str">
        <f>[2]!HsSetValue(E631,"FCC","Scenario#"&amp;R631&amp;";Years#"&amp;J631&amp;";Period#"&amp;I631&amp;";View#"&amp;S631&amp;";Entity#"&amp;H631&amp;";Data Source#"&amp;K631&amp;";Account#"&amp;F631&amp;";Intercompany#"&amp;L631&amp;";Movement#"&amp;Q631&amp;";Consolidation#"&amp;T631&amp;";Custom1#"&amp;M631&amp;";Custom2#"&amp;N631&amp;";Custom3#"&amp;O631&amp;";Custom4#"&amp;P631&amp;"")</f>
        <v>#Invalid Syntax</v>
      </c>
      <c r="E631" s="216">
        <f>SUMIFS('Investment Analysis'!$H$22:$H$69,'Investment Analysis'!$E$22:$E$69,"Mutual Funds Debt",'Investment Analysis'!$AB$22:$AB$69,"0")+SUMIFS('Investment Analysis'!$H$22:$H$69,'Investment Analysis'!$E$22:$E$69,"Mutual Funds Debt",'Investment Analysis'!$AI$22:$AI$69,"0")</f>
        <v>0</v>
      </c>
      <c r="F631" s="217" t="s">
        <v>674</v>
      </c>
      <c r="G631" s="217" t="s">
        <v>1063</v>
      </c>
      <c r="H631" s="218" t="e">
        <f t="shared" si="218"/>
        <v>#N/A</v>
      </c>
      <c r="I631" s="218" t="str">
        <f t="shared" si="218"/>
        <v>Jun</v>
      </c>
      <c r="J631" s="217" t="str">
        <f t="shared" si="218"/>
        <v>FY25</v>
      </c>
      <c r="K631" s="217" t="s">
        <v>843</v>
      </c>
      <c r="L631" s="217" t="s">
        <v>844</v>
      </c>
      <c r="M631" s="217" t="s">
        <v>845</v>
      </c>
      <c r="N631" s="217" t="s">
        <v>846</v>
      </c>
      <c r="O631" s="217" t="s">
        <v>609</v>
      </c>
      <c r="P631" s="217" t="s">
        <v>576</v>
      </c>
      <c r="Q631" s="217" t="str">
        <f t="shared" si="219"/>
        <v>FCCS_ClosingBalance_Input</v>
      </c>
      <c r="R631" s="217" t="s">
        <v>169</v>
      </c>
      <c r="S631" s="217" t="s">
        <v>848</v>
      </c>
      <c r="T631" s="217" t="s">
        <v>850</v>
      </c>
    </row>
    <row r="632" spans="2:20" x14ac:dyDescent="0.3">
      <c r="B632" s="210"/>
      <c r="C632" s="211"/>
      <c r="D632" s="212"/>
      <c r="E632" s="212"/>
    </row>
    <row r="633" spans="2:20" x14ac:dyDescent="0.3">
      <c r="B633" s="219" t="s">
        <v>1014</v>
      </c>
      <c r="C633" s="220" t="s">
        <v>414</v>
      </c>
      <c r="D633" s="221" t="str">
        <f>[2]!HsSetValue(E633,"FCC","Scenario#"&amp;R633&amp;";Years#"&amp;J633&amp;";Period#"&amp;I633&amp;";View#"&amp;S633&amp;";Entity#"&amp;H633&amp;";Data Source#"&amp;K633&amp;";Account#"&amp;F633&amp;";Intercompany#"&amp;L633&amp;";Movement#"&amp;Q633&amp;";Consolidation#"&amp;T633&amp;";Custom1#"&amp;M633&amp;";Custom2#"&amp;N633&amp;";Custom3#"&amp;O633&amp;";Custom4#"&amp;P633&amp;"")</f>
        <v>#Invalid Syntax</v>
      </c>
      <c r="E633" s="221">
        <f>SUMIFS('Investment Analysis'!$H$22:$H$69,'Investment Analysis'!$E$22:$E$69,"Mutual Funds Debt",'Investment Analysis'!$AK$22:$AK$69,"21")</f>
        <v>0</v>
      </c>
      <c r="F633" s="222" t="s">
        <v>675</v>
      </c>
      <c r="G633" s="222" t="s">
        <v>1034</v>
      </c>
      <c r="H633" s="223" t="e">
        <f>+H$2</f>
        <v>#N/A</v>
      </c>
      <c r="I633" s="223" t="str">
        <f t="shared" ref="I633:J648" si="221">+I$2</f>
        <v>Jun</v>
      </c>
      <c r="J633" s="222" t="str">
        <f t="shared" si="218"/>
        <v>FY25</v>
      </c>
      <c r="K633" s="222" t="s">
        <v>843</v>
      </c>
      <c r="L633" s="222" t="s">
        <v>844</v>
      </c>
      <c r="M633" s="222" t="s">
        <v>845</v>
      </c>
      <c r="N633" s="222" t="s">
        <v>846</v>
      </c>
      <c r="O633" s="222" t="s">
        <v>729</v>
      </c>
      <c r="P633" s="222" t="s">
        <v>576</v>
      </c>
      <c r="Q633" s="222" t="str">
        <f t="shared" ref="Q633:Q637" si="222">Q$2</f>
        <v>FCCS_ClosingBalance_Input</v>
      </c>
      <c r="R633" s="222" t="s">
        <v>169</v>
      </c>
      <c r="S633" s="222" t="s">
        <v>848</v>
      </c>
      <c r="T633" s="222" t="s">
        <v>850</v>
      </c>
    </row>
    <row r="634" spans="2:20" x14ac:dyDescent="0.3">
      <c r="B634" s="219" t="s">
        <v>1014</v>
      </c>
      <c r="C634" s="220" t="s">
        <v>414</v>
      </c>
      <c r="D634" s="221" t="str">
        <f>[2]!HsSetValue(E634,"FCC","Scenario#"&amp;R634&amp;";Years#"&amp;J634&amp;";Period#"&amp;I634&amp;";View#"&amp;S634&amp;";Entity#"&amp;H634&amp;";Data Source#"&amp;K634&amp;";Account#"&amp;F634&amp;";Intercompany#"&amp;L634&amp;";Movement#"&amp;Q634&amp;";Consolidation#"&amp;T634&amp;";Custom1#"&amp;M634&amp;";Custom2#"&amp;N634&amp;";Custom3#"&amp;O634&amp;";Custom4#"&amp;P634&amp;"")</f>
        <v>#Invalid Syntax</v>
      </c>
      <c r="E634" s="221">
        <f>SUMIFS('Investment Analysis'!$H$22:$H$69,'Investment Analysis'!$E$22:$E$69,"Mutual Funds Debt",'Investment Analysis'!$AK$22:$AK$69,"22")</f>
        <v>0</v>
      </c>
      <c r="F634" s="222" t="s">
        <v>675</v>
      </c>
      <c r="G634" s="222" t="s">
        <v>1034</v>
      </c>
      <c r="H634" s="223" t="e">
        <f>+H$2</f>
        <v>#N/A</v>
      </c>
      <c r="I634" s="223" t="str">
        <f t="shared" si="221"/>
        <v>Jun</v>
      </c>
      <c r="J634" s="222" t="str">
        <f t="shared" si="221"/>
        <v>FY25</v>
      </c>
      <c r="K634" s="222" t="s">
        <v>843</v>
      </c>
      <c r="L634" s="222" t="s">
        <v>844</v>
      </c>
      <c r="M634" s="222" t="s">
        <v>845</v>
      </c>
      <c r="N634" s="222" t="s">
        <v>846</v>
      </c>
      <c r="O634" s="222" t="s">
        <v>730</v>
      </c>
      <c r="P634" s="222" t="s">
        <v>576</v>
      </c>
      <c r="Q634" s="222" t="str">
        <f t="shared" si="222"/>
        <v>FCCS_ClosingBalance_Input</v>
      </c>
      <c r="R634" s="222" t="s">
        <v>169</v>
      </c>
      <c r="S634" s="222" t="s">
        <v>848</v>
      </c>
      <c r="T634" s="222" t="s">
        <v>850</v>
      </c>
    </row>
    <row r="635" spans="2:20" x14ac:dyDescent="0.3">
      <c r="B635" s="219" t="s">
        <v>1014</v>
      </c>
      <c r="C635" s="220" t="s">
        <v>414</v>
      </c>
      <c r="D635" s="221" t="str">
        <f>[2]!HsSetValue(E635,"FCC","Scenario#"&amp;R635&amp;";Years#"&amp;J635&amp;";Period#"&amp;I635&amp;";View#"&amp;S635&amp;";Entity#"&amp;H635&amp;";Data Source#"&amp;K635&amp;";Account#"&amp;F635&amp;";Intercompany#"&amp;L635&amp;";Movement#"&amp;Q635&amp;";Consolidation#"&amp;T635&amp;";Custom1#"&amp;M635&amp;";Custom2#"&amp;N635&amp;";Custom3#"&amp;O635&amp;";Custom4#"&amp;P635&amp;"")</f>
        <v>#Invalid Syntax</v>
      </c>
      <c r="E635" s="221">
        <f>SUMIFS('Investment Analysis'!$H$22:$H$69,'Investment Analysis'!$E$22:$E$69,"Mutual Funds Debt",'Investment Analysis'!$AK$22:$AK$69,"23")</f>
        <v>0</v>
      </c>
      <c r="F635" s="222" t="s">
        <v>675</v>
      </c>
      <c r="G635" s="222" t="s">
        <v>1034</v>
      </c>
      <c r="H635" s="223" t="e">
        <f>+H$2</f>
        <v>#N/A</v>
      </c>
      <c r="I635" s="223" t="str">
        <f t="shared" si="221"/>
        <v>Jun</v>
      </c>
      <c r="J635" s="222" t="str">
        <f t="shared" si="221"/>
        <v>FY25</v>
      </c>
      <c r="K635" s="222" t="s">
        <v>843</v>
      </c>
      <c r="L635" s="222" t="s">
        <v>844</v>
      </c>
      <c r="M635" s="222" t="s">
        <v>845</v>
      </c>
      <c r="N635" s="222" t="s">
        <v>846</v>
      </c>
      <c r="O635" s="222" t="s">
        <v>731</v>
      </c>
      <c r="P635" s="222" t="s">
        <v>576</v>
      </c>
      <c r="Q635" s="222" t="str">
        <f t="shared" si="222"/>
        <v>FCCS_ClosingBalance_Input</v>
      </c>
      <c r="R635" s="222" t="s">
        <v>169</v>
      </c>
      <c r="S635" s="222" t="s">
        <v>848</v>
      </c>
      <c r="T635" s="222" t="s">
        <v>850</v>
      </c>
    </row>
    <row r="636" spans="2:20" x14ac:dyDescent="0.3">
      <c r="B636" s="219" t="s">
        <v>1014</v>
      </c>
      <c r="C636" s="220" t="s">
        <v>414</v>
      </c>
      <c r="D636" s="221" t="str">
        <f>[2]!HsSetValue(E636,"FCC","Scenario#"&amp;R636&amp;";Years#"&amp;J636&amp;";Period#"&amp;I636&amp;";View#"&amp;S636&amp;";Entity#"&amp;H636&amp;";Data Source#"&amp;K636&amp;";Account#"&amp;F636&amp;";Intercompany#"&amp;L636&amp;";Movement#"&amp;Q636&amp;";Consolidation#"&amp;T636&amp;";Custom1#"&amp;M636&amp;";Custom2#"&amp;N636&amp;";Custom3#"&amp;O636&amp;";Custom4#"&amp;P636&amp;"")</f>
        <v>#Invalid Syntax</v>
      </c>
      <c r="E636" s="221">
        <f>SUMIFS('Investment Analysis'!$H$22:$H$69,'Investment Analysis'!$E$22:$E$69,"Mutual Funds Debt",'Investment Analysis'!$AK$22:$AK$69,"24")</f>
        <v>0</v>
      </c>
      <c r="F636" s="222" t="s">
        <v>675</v>
      </c>
      <c r="G636" s="222" t="s">
        <v>1034</v>
      </c>
      <c r="H636" s="223" t="e">
        <f>+H$2</f>
        <v>#N/A</v>
      </c>
      <c r="I636" s="223" t="str">
        <f t="shared" si="221"/>
        <v>Jun</v>
      </c>
      <c r="J636" s="222" t="str">
        <f t="shared" si="221"/>
        <v>FY25</v>
      </c>
      <c r="K636" s="222" t="s">
        <v>843</v>
      </c>
      <c r="L636" s="222" t="s">
        <v>844</v>
      </c>
      <c r="M636" s="222" t="s">
        <v>845</v>
      </c>
      <c r="N636" s="222" t="s">
        <v>846</v>
      </c>
      <c r="O636" s="222" t="s">
        <v>732</v>
      </c>
      <c r="P636" s="222" t="s">
        <v>576</v>
      </c>
      <c r="Q636" s="222" t="str">
        <f t="shared" si="222"/>
        <v>FCCS_ClosingBalance_Input</v>
      </c>
      <c r="R636" s="222" t="s">
        <v>169</v>
      </c>
      <c r="S636" s="222" t="s">
        <v>848</v>
      </c>
      <c r="T636" s="222" t="s">
        <v>850</v>
      </c>
    </row>
    <row r="637" spans="2:20" x14ac:dyDescent="0.3">
      <c r="B637" s="219" t="s">
        <v>1014</v>
      </c>
      <c r="C637" s="220" t="s">
        <v>414</v>
      </c>
      <c r="D637" s="221" t="str">
        <f>[2]!HsSetValue(E637,"FCC","Scenario#"&amp;R637&amp;";Years#"&amp;J637&amp;";Period#"&amp;I637&amp;";View#"&amp;S637&amp;";Entity#"&amp;H637&amp;";Data Source#"&amp;K637&amp;";Account#"&amp;F637&amp;";Intercompany#"&amp;L637&amp;";Movement#"&amp;Q637&amp;";Consolidation#"&amp;T637&amp;";Custom1#"&amp;M637&amp;";Custom2#"&amp;N637&amp;";Custom3#"&amp;O637&amp;";Custom4#"&amp;P637&amp;"")</f>
        <v>#Invalid Syntax</v>
      </c>
      <c r="E637" s="221">
        <f>SUMIFS('Investment Analysis'!$H$22:$H$69,'Investment Analysis'!$E$22:$E$69,"Mutual Funds Debt",'Investment Analysis'!$AK$22:$AK$69,"25")</f>
        <v>0</v>
      </c>
      <c r="F637" s="222" t="s">
        <v>675</v>
      </c>
      <c r="G637" s="222" t="s">
        <v>1034</v>
      </c>
      <c r="H637" s="223" t="e">
        <f>+H$2</f>
        <v>#N/A</v>
      </c>
      <c r="I637" s="223" t="str">
        <f t="shared" si="221"/>
        <v>Jun</v>
      </c>
      <c r="J637" s="222" t="str">
        <f t="shared" si="221"/>
        <v>FY25</v>
      </c>
      <c r="K637" s="222" t="s">
        <v>843</v>
      </c>
      <c r="L637" s="222" t="s">
        <v>844</v>
      </c>
      <c r="M637" s="222" t="s">
        <v>845</v>
      </c>
      <c r="N637" s="222" t="s">
        <v>846</v>
      </c>
      <c r="O637" s="222" t="s">
        <v>733</v>
      </c>
      <c r="P637" s="222" t="s">
        <v>576</v>
      </c>
      <c r="Q637" s="222" t="str">
        <f t="shared" si="222"/>
        <v>FCCS_ClosingBalance_Input</v>
      </c>
      <c r="R637" s="222" t="s">
        <v>169</v>
      </c>
      <c r="S637" s="222" t="s">
        <v>848</v>
      </c>
      <c r="T637" s="222" t="s">
        <v>850</v>
      </c>
    </row>
    <row r="638" spans="2:20" outlineLevel="1" x14ac:dyDescent="0.3">
      <c r="B638" s="210"/>
      <c r="C638" s="224"/>
      <c r="D638" s="212"/>
      <c r="E638" s="212"/>
    </row>
    <row r="639" spans="2:20" x14ac:dyDescent="0.3">
      <c r="B639" s="364" t="s">
        <v>668</v>
      </c>
      <c r="C639" s="365" t="s">
        <v>949</v>
      </c>
      <c r="D639" s="366" t="str">
        <f>[2]!HsSetValue(E639,"FCC","Scenario#"&amp;R639&amp;";Years#"&amp;J639&amp;";Period#"&amp;I639&amp;";View#"&amp;S639&amp;";Entity#"&amp;H639&amp;";Data Source#"&amp;K639&amp;";Account#"&amp;F639&amp;";Intercompany#"&amp;L639&amp;";Movement#"&amp;Q639&amp;";Consolidation#"&amp;T639&amp;";Custom1#"&amp;M639&amp;";Custom2#"&amp;N639&amp;";Custom3#"&amp;O639&amp;";Custom4#"&amp;P639&amp;"")</f>
        <v>#Invalid Syntax</v>
      </c>
      <c r="E639" s="366">
        <f>SUMIF('Investment Analysis'!$E$22:$E$69,'FCC Investments - Load Tab'!C639,'Investment Analysis'!$K$22:$K$69)</f>
        <v>0</v>
      </c>
      <c r="F639" s="367" t="s">
        <v>673</v>
      </c>
      <c r="G639" s="367" t="s">
        <v>960</v>
      </c>
      <c r="H639" s="368" t="e">
        <f>+H$2</f>
        <v>#N/A</v>
      </c>
      <c r="I639" s="368" t="str">
        <f t="shared" ref="I639:I643" si="223">+I$2</f>
        <v>Jun</v>
      </c>
      <c r="J639" s="367" t="str">
        <f t="shared" si="221"/>
        <v>FY25</v>
      </c>
      <c r="K639" s="367" t="s">
        <v>843</v>
      </c>
      <c r="L639" s="367" t="s">
        <v>844</v>
      </c>
      <c r="M639" s="367" t="s">
        <v>845</v>
      </c>
      <c r="N639" s="367" t="s">
        <v>846</v>
      </c>
      <c r="O639" s="367" t="s">
        <v>721</v>
      </c>
      <c r="P639" s="367" t="s">
        <v>921</v>
      </c>
      <c r="Q639" s="367" t="str">
        <f t="shared" ref="Q639:Q643" si="224">Q$2</f>
        <v>FCCS_ClosingBalance_Input</v>
      </c>
      <c r="R639" s="367" t="s">
        <v>169</v>
      </c>
      <c r="S639" s="367" t="s">
        <v>848</v>
      </c>
      <c r="T639" s="367" t="s">
        <v>850</v>
      </c>
    </row>
    <row r="640" spans="2:20" x14ac:dyDescent="0.3">
      <c r="B640" s="364" t="s">
        <v>668</v>
      </c>
      <c r="C640" s="365" t="s">
        <v>949</v>
      </c>
      <c r="D640" s="366" t="str">
        <f>[2]!HsSetValue(E640,"FCC","Scenario#"&amp;R640&amp;";Years#"&amp;J640&amp;";Period#"&amp;I640&amp;";View#"&amp;S640&amp;";Entity#"&amp;H640&amp;";Data Source#"&amp;K640&amp;";Account#"&amp;F640&amp;";Intercompany#"&amp;L640&amp;";Movement#"&amp;Q640&amp;";Consolidation#"&amp;T640&amp;";Custom1#"&amp;M640&amp;";Custom2#"&amp;N640&amp;";Custom3#"&amp;O640&amp;";Custom4#"&amp;P640&amp;"")</f>
        <v>#Invalid Syntax</v>
      </c>
      <c r="E640" s="366">
        <f>SUMIF('Investment Analysis'!$E$22:$E$69,'FCC Investments - Load Tab'!C639,'Investment Analysis'!$L$22:$L$69)</f>
        <v>0</v>
      </c>
      <c r="F640" s="367" t="s">
        <v>673</v>
      </c>
      <c r="G640" s="367" t="s">
        <v>960</v>
      </c>
      <c r="H640" s="368" t="e">
        <f>+H$2</f>
        <v>#N/A</v>
      </c>
      <c r="I640" s="368" t="str">
        <f t="shared" si="223"/>
        <v>Jun</v>
      </c>
      <c r="J640" s="367" t="str">
        <f t="shared" si="221"/>
        <v>FY25</v>
      </c>
      <c r="K640" s="367" t="s">
        <v>843</v>
      </c>
      <c r="L640" s="367" t="s">
        <v>844</v>
      </c>
      <c r="M640" s="367" t="s">
        <v>845</v>
      </c>
      <c r="N640" s="367" t="s">
        <v>846</v>
      </c>
      <c r="O640" s="367" t="s">
        <v>722</v>
      </c>
      <c r="P640" s="367" t="s">
        <v>921</v>
      </c>
      <c r="Q640" s="367" t="str">
        <f t="shared" si="224"/>
        <v>FCCS_ClosingBalance_Input</v>
      </c>
      <c r="R640" s="367" t="s">
        <v>169</v>
      </c>
      <c r="S640" s="367" t="s">
        <v>848</v>
      </c>
      <c r="T640" s="367" t="s">
        <v>850</v>
      </c>
    </row>
    <row r="641" spans="2:20" x14ac:dyDescent="0.3">
      <c r="B641" s="364" t="s">
        <v>668</v>
      </c>
      <c r="C641" s="365" t="s">
        <v>949</v>
      </c>
      <c r="D641" s="366" t="str">
        <f>[2]!HsSetValue(E641,"FCC","Scenario#"&amp;R641&amp;";Years#"&amp;J641&amp;";Period#"&amp;I641&amp;";View#"&amp;S641&amp;";Entity#"&amp;H641&amp;";Data Source#"&amp;K641&amp;";Account#"&amp;F641&amp;";Intercompany#"&amp;L641&amp;";Movement#"&amp;Q641&amp;";Consolidation#"&amp;T641&amp;";Custom1#"&amp;M641&amp;";Custom2#"&amp;N641&amp;";Custom3#"&amp;O641&amp;";Custom4#"&amp;P641&amp;"")</f>
        <v>#Invalid Syntax</v>
      </c>
      <c r="E641" s="366">
        <f>SUMIF('Investment Analysis'!$E$22:$E$69,'FCC Investments - Load Tab'!C639,'Investment Analysis'!$M$22:$M$69)</f>
        <v>0</v>
      </c>
      <c r="F641" s="367" t="s">
        <v>673</v>
      </c>
      <c r="G641" s="367" t="s">
        <v>960</v>
      </c>
      <c r="H641" s="368" t="e">
        <f>+H$2</f>
        <v>#N/A</v>
      </c>
      <c r="I641" s="368" t="str">
        <f t="shared" si="223"/>
        <v>Jun</v>
      </c>
      <c r="J641" s="367" t="str">
        <f t="shared" si="221"/>
        <v>FY25</v>
      </c>
      <c r="K641" s="367" t="s">
        <v>843</v>
      </c>
      <c r="L641" s="367" t="s">
        <v>844</v>
      </c>
      <c r="M641" s="367" t="s">
        <v>845</v>
      </c>
      <c r="N641" s="367" t="s">
        <v>846</v>
      </c>
      <c r="O641" s="367" t="s">
        <v>723</v>
      </c>
      <c r="P641" s="367" t="s">
        <v>921</v>
      </c>
      <c r="Q641" s="367" t="str">
        <f t="shared" si="224"/>
        <v>FCCS_ClosingBalance_Input</v>
      </c>
      <c r="R641" s="367" t="s">
        <v>169</v>
      </c>
      <c r="S641" s="367" t="s">
        <v>848</v>
      </c>
      <c r="T641" s="367" t="s">
        <v>850</v>
      </c>
    </row>
    <row r="642" spans="2:20" x14ac:dyDescent="0.3">
      <c r="B642" s="364" t="s">
        <v>668</v>
      </c>
      <c r="C642" s="365" t="s">
        <v>949</v>
      </c>
      <c r="D642" s="366" t="str">
        <f>[2]!HsSetValue(E642,"FCC","Scenario#"&amp;R642&amp;";Years#"&amp;J642&amp;";Period#"&amp;I642&amp;";View#"&amp;S642&amp;";Entity#"&amp;H642&amp;";Data Source#"&amp;K642&amp;";Account#"&amp;F642&amp;";Intercompany#"&amp;L642&amp;";Movement#"&amp;Q642&amp;";Consolidation#"&amp;T642&amp;";Custom1#"&amp;M642&amp;";Custom2#"&amp;N642&amp;";Custom3#"&amp;O642&amp;";Custom4#"&amp;P642&amp;"")</f>
        <v>#Invalid Syntax</v>
      </c>
      <c r="E642" s="366">
        <f>SUMIF('Investment Analysis'!$E$22:$E$69,'FCC Investments - Load Tab'!C642,'Investment Analysis'!$N$22:$N$69)</f>
        <v>0</v>
      </c>
      <c r="F642" s="367" t="s">
        <v>673</v>
      </c>
      <c r="G642" s="367" t="s">
        <v>960</v>
      </c>
      <c r="H642" s="368" t="e">
        <f>+H$2</f>
        <v>#N/A</v>
      </c>
      <c r="I642" s="368" t="str">
        <f t="shared" si="223"/>
        <v>Jun</v>
      </c>
      <c r="J642" s="367" t="str">
        <f t="shared" si="221"/>
        <v>FY25</v>
      </c>
      <c r="K642" s="367" t="s">
        <v>843</v>
      </c>
      <c r="L642" s="367" t="s">
        <v>844</v>
      </c>
      <c r="M642" s="367" t="s">
        <v>845</v>
      </c>
      <c r="N642" s="367" t="s">
        <v>846</v>
      </c>
      <c r="O642" s="367" t="s">
        <v>724</v>
      </c>
      <c r="P642" s="367" t="s">
        <v>921</v>
      </c>
      <c r="Q642" s="367" t="str">
        <f t="shared" si="224"/>
        <v>FCCS_ClosingBalance_Input</v>
      </c>
      <c r="R642" s="367" t="s">
        <v>169</v>
      </c>
      <c r="S642" s="367" t="s">
        <v>848</v>
      </c>
      <c r="T642" s="367" t="s">
        <v>850</v>
      </c>
    </row>
    <row r="643" spans="2:20" x14ac:dyDescent="0.3">
      <c r="B643" s="364" t="s">
        <v>668</v>
      </c>
      <c r="C643" s="365" t="s">
        <v>949</v>
      </c>
      <c r="D643" s="366" t="str">
        <f>[2]!HsSetValue(E643,"FCC","Scenario#"&amp;R643&amp;";Years#"&amp;J643&amp;";Period#"&amp;I643&amp;";View#"&amp;S643&amp;";Entity#"&amp;H643&amp;";Data Source#"&amp;K643&amp;";Account#"&amp;F643&amp;";Intercompany#"&amp;L643&amp;";Movement#"&amp;Q643&amp;";Consolidation#"&amp;T643&amp;";Custom1#"&amp;M643&amp;";Custom2#"&amp;N643&amp;";Custom3#"&amp;O643&amp;";Custom4#"&amp;P643&amp;"")</f>
        <v>#Invalid Syntax</v>
      </c>
      <c r="E643" s="366">
        <f>SUMIF('Investment Analysis'!$E$2:$E$69,'FCC Investments - Load Tab'!C643,'Investment Analysis'!$O$2:$O$69)</f>
        <v>0</v>
      </c>
      <c r="F643" s="367" t="s">
        <v>673</v>
      </c>
      <c r="G643" s="367" t="s">
        <v>960</v>
      </c>
      <c r="H643" s="368" t="e">
        <f>+H$2</f>
        <v>#N/A</v>
      </c>
      <c r="I643" s="368" t="str">
        <f t="shared" si="223"/>
        <v>Jun</v>
      </c>
      <c r="J643" s="367" t="str">
        <f t="shared" si="221"/>
        <v>FY25</v>
      </c>
      <c r="K643" s="367" t="s">
        <v>843</v>
      </c>
      <c r="L643" s="367" t="s">
        <v>844</v>
      </c>
      <c r="M643" s="367" t="s">
        <v>845</v>
      </c>
      <c r="N643" s="367" t="s">
        <v>846</v>
      </c>
      <c r="O643" s="367" t="s">
        <v>725</v>
      </c>
      <c r="P643" s="367" t="s">
        <v>921</v>
      </c>
      <c r="Q643" s="367" t="str">
        <f t="shared" si="224"/>
        <v>FCCS_ClosingBalance_Input</v>
      </c>
      <c r="R643" s="367" t="s">
        <v>169</v>
      </c>
      <c r="S643" s="367" t="s">
        <v>848</v>
      </c>
      <c r="T643" s="367" t="s">
        <v>850</v>
      </c>
    </row>
    <row r="644" spans="2:20" outlineLevel="1" x14ac:dyDescent="0.3">
      <c r="B644" s="210"/>
      <c r="C644" s="224"/>
      <c r="D644" s="212"/>
      <c r="E644" s="212"/>
    </row>
    <row r="645" spans="2:20" x14ac:dyDescent="0.3">
      <c r="B645" s="214" t="s">
        <v>667</v>
      </c>
      <c r="C645" s="215" t="s">
        <v>949</v>
      </c>
      <c r="D645" s="216" t="str">
        <f>[2]!HsSetValue(E645,"FCC","Scenario#"&amp;R645&amp;";Years#"&amp;J645&amp;";Period#"&amp;I645&amp;";View#"&amp;S645&amp;";Entity#"&amp;H645&amp;";Data Source#"&amp;K645&amp;";Account#"&amp;F645&amp;";Intercompany#"&amp;L645&amp;";Movement#"&amp;Q645&amp;";Consolidation#"&amp;T645&amp;";Custom1#"&amp;M645&amp;";Custom2#"&amp;N645&amp;";Custom3#"&amp;O645&amp;";Custom4#"&amp;P645&amp;"")</f>
        <v>#Invalid Syntax</v>
      </c>
      <c r="E645" s="216">
        <f>SUMIFS('Investment Analysis'!$H$22:$H$69,'Investment Analysis'!$E$22:$E$69,"Mutual Funds Equities Domestic",'Investment Analysis'!$AB$22:$AB$69,"10")</f>
        <v>0</v>
      </c>
      <c r="F645" s="217" t="s">
        <v>674</v>
      </c>
      <c r="G645" s="217" t="s">
        <v>962</v>
      </c>
      <c r="H645" s="218" t="e">
        <f t="shared" ref="H645:N660" si="225">+H$2</f>
        <v>#N/A</v>
      </c>
      <c r="I645" s="218" t="str">
        <f t="shared" si="225"/>
        <v>Jun</v>
      </c>
      <c r="J645" s="217" t="str">
        <f t="shared" si="221"/>
        <v>FY25</v>
      </c>
      <c r="K645" s="217" t="s">
        <v>843</v>
      </c>
      <c r="L645" s="217" t="s">
        <v>844</v>
      </c>
      <c r="M645" s="217" t="s">
        <v>845</v>
      </c>
      <c r="N645" s="217" t="s">
        <v>846</v>
      </c>
      <c r="O645" s="217" t="s">
        <v>433</v>
      </c>
      <c r="P645" s="217" t="s">
        <v>921</v>
      </c>
      <c r="Q645" s="217" t="str">
        <f t="shared" ref="Q645:Q658" si="226">Q$2</f>
        <v>FCCS_ClosingBalance_Input</v>
      </c>
      <c r="R645" s="217" t="s">
        <v>169</v>
      </c>
      <c r="S645" s="217" t="s">
        <v>848</v>
      </c>
      <c r="T645" s="217" t="s">
        <v>850</v>
      </c>
    </row>
    <row r="646" spans="2:20" x14ac:dyDescent="0.3">
      <c r="B646" s="214" t="s">
        <v>667</v>
      </c>
      <c r="C646" s="215" t="s">
        <v>949</v>
      </c>
      <c r="D646" s="216" t="str">
        <f>[2]!HsSetValue(E646,"FCC","Scenario#"&amp;R646&amp;";Years#"&amp;J646&amp;";Period#"&amp;I646&amp;";View#"&amp;S646&amp;";Entity#"&amp;H646&amp;";Data Source#"&amp;K646&amp;";Account#"&amp;F646&amp;";Intercompany#"&amp;L646&amp;";Movement#"&amp;Q646&amp;";Consolidation#"&amp;T646&amp;";Custom1#"&amp;M646&amp;";Custom2#"&amp;N646&amp;";Custom3#"&amp;O646&amp;";Custom4#"&amp;P646&amp;"")</f>
        <v>#Invalid Syntax</v>
      </c>
      <c r="E646" s="216">
        <f>SUMIFS('Investment Analysis'!$H$22:$H$69,'Investment Analysis'!$E$22:$E$69,"Mutual Funds Equities Domestic",'Investment Analysis'!$AB$22:$AB$69,"9")</f>
        <v>0</v>
      </c>
      <c r="F646" s="217" t="s">
        <v>674</v>
      </c>
      <c r="G646" s="217" t="s">
        <v>962</v>
      </c>
      <c r="H646" s="218" t="e">
        <f t="shared" si="225"/>
        <v>#N/A</v>
      </c>
      <c r="I646" s="218" t="str">
        <f t="shared" si="225"/>
        <v>Jun</v>
      </c>
      <c r="J646" s="217" t="str">
        <f t="shared" si="221"/>
        <v>FY25</v>
      </c>
      <c r="K646" s="217" t="s">
        <v>843</v>
      </c>
      <c r="L646" s="217" t="s">
        <v>844</v>
      </c>
      <c r="M646" s="217" t="s">
        <v>845</v>
      </c>
      <c r="N646" s="217" t="s">
        <v>846</v>
      </c>
      <c r="O646" s="217" t="s">
        <v>596</v>
      </c>
      <c r="P646" s="217" t="s">
        <v>921</v>
      </c>
      <c r="Q646" s="217" t="str">
        <f t="shared" si="226"/>
        <v>FCCS_ClosingBalance_Input</v>
      </c>
      <c r="R646" s="217" t="s">
        <v>169</v>
      </c>
      <c r="S646" s="217" t="s">
        <v>848</v>
      </c>
      <c r="T646" s="217" t="s">
        <v>850</v>
      </c>
    </row>
    <row r="647" spans="2:20" x14ac:dyDescent="0.3">
      <c r="B647" s="214" t="s">
        <v>667</v>
      </c>
      <c r="C647" s="215" t="s">
        <v>949</v>
      </c>
      <c r="D647" s="216" t="str">
        <f>[2]!HsSetValue(E647,"FCC","Scenario#"&amp;R647&amp;";Years#"&amp;J647&amp;";Period#"&amp;I647&amp;";View#"&amp;S647&amp;";Entity#"&amp;H647&amp;";Data Source#"&amp;K647&amp;";Account#"&amp;F647&amp;";Intercompany#"&amp;L647&amp;";Movement#"&amp;Q647&amp;";Consolidation#"&amp;T647&amp;";Custom1#"&amp;M647&amp;";Custom2#"&amp;N647&amp;";Custom3#"&amp;O647&amp;";Custom4#"&amp;P647&amp;"")</f>
        <v>#Invalid Syntax</v>
      </c>
      <c r="E647" s="216">
        <f>SUMIFS('Investment Analysis'!$H$22:$H$69,'Investment Analysis'!$E$22:$E$69,"Mutual Funds Equities Domestic",'Investment Analysis'!$AB$22:$AB$69,"8")</f>
        <v>0</v>
      </c>
      <c r="F647" s="217" t="s">
        <v>674</v>
      </c>
      <c r="G647" s="217" t="s">
        <v>962</v>
      </c>
      <c r="H647" s="218" t="e">
        <f t="shared" si="225"/>
        <v>#N/A</v>
      </c>
      <c r="I647" s="218" t="str">
        <f t="shared" si="225"/>
        <v>Jun</v>
      </c>
      <c r="J647" s="217" t="str">
        <f t="shared" si="221"/>
        <v>FY25</v>
      </c>
      <c r="K647" s="217" t="s">
        <v>843</v>
      </c>
      <c r="L647" s="217" t="s">
        <v>844</v>
      </c>
      <c r="M647" s="217" t="s">
        <v>845</v>
      </c>
      <c r="N647" s="217" t="s">
        <v>846</v>
      </c>
      <c r="O647" s="217" t="s">
        <v>61</v>
      </c>
      <c r="P647" s="217" t="s">
        <v>921</v>
      </c>
      <c r="Q647" s="217" t="str">
        <f t="shared" si="226"/>
        <v>FCCS_ClosingBalance_Input</v>
      </c>
      <c r="R647" s="217" t="s">
        <v>169</v>
      </c>
      <c r="S647" s="217" t="s">
        <v>848</v>
      </c>
      <c r="T647" s="217" t="s">
        <v>850</v>
      </c>
    </row>
    <row r="648" spans="2:20" x14ac:dyDescent="0.3">
      <c r="B648" s="214" t="s">
        <v>667</v>
      </c>
      <c r="C648" s="215" t="s">
        <v>949</v>
      </c>
      <c r="D648" s="216" t="str">
        <f>[2]!HsSetValue(E648,"FCC","Scenario#"&amp;R648&amp;";Years#"&amp;J648&amp;";Period#"&amp;I648&amp;";View#"&amp;S648&amp;";Entity#"&amp;H648&amp;";Data Source#"&amp;K648&amp;";Account#"&amp;F648&amp;";Intercompany#"&amp;L648&amp;";Movement#"&amp;Q648&amp;";Consolidation#"&amp;T648&amp;";Custom1#"&amp;M648&amp;";Custom2#"&amp;N648&amp;";Custom3#"&amp;O648&amp;";Custom4#"&amp;P648&amp;"")</f>
        <v>#Invalid Syntax</v>
      </c>
      <c r="E648" s="216">
        <f>SUMIFS('Investment Analysis'!$H$22:$H$69,'Investment Analysis'!$E$22:$E$69,"Mutual Funds Equities Domestic",'Investment Analysis'!$AB$22:$AB$69,"7")</f>
        <v>0</v>
      </c>
      <c r="F648" s="217" t="s">
        <v>674</v>
      </c>
      <c r="G648" s="217" t="s">
        <v>962</v>
      </c>
      <c r="H648" s="218" t="e">
        <f t="shared" si="225"/>
        <v>#N/A</v>
      </c>
      <c r="I648" s="218" t="str">
        <f t="shared" si="225"/>
        <v>Jun</v>
      </c>
      <c r="J648" s="217" t="str">
        <f t="shared" si="221"/>
        <v>FY25</v>
      </c>
      <c r="K648" s="217" t="s">
        <v>843</v>
      </c>
      <c r="L648" s="217" t="s">
        <v>844</v>
      </c>
      <c r="M648" s="217" t="s">
        <v>845</v>
      </c>
      <c r="N648" s="217" t="s">
        <v>846</v>
      </c>
      <c r="O648" s="217" t="s">
        <v>62</v>
      </c>
      <c r="P648" s="217" t="s">
        <v>921</v>
      </c>
      <c r="Q648" s="217" t="str">
        <f t="shared" si="226"/>
        <v>FCCS_ClosingBalance_Input</v>
      </c>
      <c r="R648" s="217" t="s">
        <v>169</v>
      </c>
      <c r="S648" s="217" t="s">
        <v>848</v>
      </c>
      <c r="T648" s="217" t="s">
        <v>850</v>
      </c>
    </row>
    <row r="649" spans="2:20" x14ac:dyDescent="0.3">
      <c r="B649" s="214" t="s">
        <v>667</v>
      </c>
      <c r="C649" s="215" t="s">
        <v>949</v>
      </c>
      <c r="D649" s="216" t="str">
        <f>[2]!HsSetValue(E649,"FCC","Scenario#"&amp;R649&amp;";Years#"&amp;J649&amp;";Period#"&amp;I649&amp;";View#"&amp;S649&amp;";Entity#"&amp;H649&amp;";Data Source#"&amp;K649&amp;";Account#"&amp;F649&amp;";Intercompany#"&amp;L649&amp;";Movement#"&amp;Q649&amp;";Consolidation#"&amp;T649&amp;";Custom1#"&amp;M649&amp;";Custom2#"&amp;N649&amp;";Custom3#"&amp;O649&amp;";Custom4#"&amp;P649&amp;"")</f>
        <v>#Invalid Syntax</v>
      </c>
      <c r="E649" s="216">
        <f>SUMIFS('Investment Analysis'!$H$22:$H$69,'Investment Analysis'!$E$22:$E$69,"Mutual Funds Equities Domestic",'Investment Analysis'!$AB$22:$AB$69,"6")</f>
        <v>0</v>
      </c>
      <c r="F649" s="217" t="s">
        <v>674</v>
      </c>
      <c r="G649" s="217" t="s">
        <v>962</v>
      </c>
      <c r="H649" s="218" t="e">
        <f t="shared" si="225"/>
        <v>#N/A</v>
      </c>
      <c r="I649" s="218" t="str">
        <f t="shared" si="225"/>
        <v>Jun</v>
      </c>
      <c r="J649" s="217" t="str">
        <f t="shared" si="225"/>
        <v>FY25</v>
      </c>
      <c r="K649" s="217" t="s">
        <v>843</v>
      </c>
      <c r="L649" s="217" t="s">
        <v>844</v>
      </c>
      <c r="M649" s="217" t="s">
        <v>845</v>
      </c>
      <c r="N649" s="217" t="s">
        <v>846</v>
      </c>
      <c r="O649" s="217" t="s">
        <v>436</v>
      </c>
      <c r="P649" s="217" t="s">
        <v>921</v>
      </c>
      <c r="Q649" s="217" t="str">
        <f t="shared" si="226"/>
        <v>FCCS_ClosingBalance_Input</v>
      </c>
      <c r="R649" s="217" t="s">
        <v>169</v>
      </c>
      <c r="S649" s="217" t="s">
        <v>848</v>
      </c>
      <c r="T649" s="217" t="s">
        <v>850</v>
      </c>
    </row>
    <row r="650" spans="2:20" s="371" customFormat="1" x14ac:dyDescent="0.3">
      <c r="B650" s="214" t="s">
        <v>667</v>
      </c>
      <c r="C650" s="215" t="s">
        <v>949</v>
      </c>
      <c r="D650" s="216" t="str">
        <f>[2]!HsSetValue(E650,"FCC","Scenario#"&amp;R650&amp;";Years#"&amp;J650&amp;";Period#"&amp;I650&amp;";View#"&amp;S650&amp;";Entity#"&amp;H650&amp;";Data Source#"&amp;K650&amp;";Account#"&amp;F650&amp;";Intercompany#"&amp;L650&amp;";Movement#"&amp;Q650&amp;";Consolidation#"&amp;T650&amp;";Custom1#"&amp;M650&amp;";Custom2#"&amp;N650&amp;";Custom3#"&amp;O650&amp;";Custom4#"&amp;P650&amp;"")</f>
        <v>#Invalid Syntax</v>
      </c>
      <c r="E650" s="216">
        <f>SUMIFS('Investment Analysis'!$H$22:$H$69,'Investment Analysis'!$E$22:$E$69,"Mutual Funds Equities Domestic",'Investment Analysis'!$AB$22:$AB$69,"5")</f>
        <v>0</v>
      </c>
      <c r="F650" s="217" t="s">
        <v>674</v>
      </c>
      <c r="G650" s="217" t="s">
        <v>962</v>
      </c>
      <c r="H650" s="218" t="e">
        <f t="shared" si="225"/>
        <v>#N/A</v>
      </c>
      <c r="I650" s="218" t="str">
        <f t="shared" si="225"/>
        <v>Jun</v>
      </c>
      <c r="J650" s="217" t="str">
        <f t="shared" si="225"/>
        <v>FY25</v>
      </c>
      <c r="K650" s="217" t="str">
        <f t="shared" si="225"/>
        <v>FCCS_Other Data</v>
      </c>
      <c r="L650" s="217" t="str">
        <f t="shared" si="225"/>
        <v>FCCS_No Intercompany</v>
      </c>
      <c r="M650" s="217" t="str">
        <f>+M$1</f>
        <v>No Custom1</v>
      </c>
      <c r="N650" s="217" t="str">
        <f t="shared" si="225"/>
        <v>No Custom2</v>
      </c>
      <c r="O650" s="217" t="s">
        <v>434</v>
      </c>
      <c r="P650" s="217" t="s">
        <v>921</v>
      </c>
      <c r="Q650" s="217" t="str">
        <f t="shared" si="226"/>
        <v>FCCS_ClosingBalance_Input</v>
      </c>
      <c r="R650" s="217" t="str">
        <f t="shared" ref="R650:S654" si="227">+R$2</f>
        <v>Actual</v>
      </c>
      <c r="S650" s="217" t="str">
        <f t="shared" si="227"/>
        <v>FCCS_YTD_Input</v>
      </c>
      <c r="T650" s="217" t="s">
        <v>850</v>
      </c>
    </row>
    <row r="651" spans="2:20" s="371" customFormat="1" x14ac:dyDescent="0.3">
      <c r="B651" s="214" t="s">
        <v>667</v>
      </c>
      <c r="C651" s="215" t="s">
        <v>949</v>
      </c>
      <c r="D651" s="216" t="str">
        <f>[2]!HsSetValue(E651,"FCC","Scenario#"&amp;R651&amp;";Years#"&amp;J651&amp;";Period#"&amp;I651&amp;";View#"&amp;S651&amp;";Entity#"&amp;H651&amp;";Data Source#"&amp;K651&amp;";Account#"&amp;F651&amp;";Intercompany#"&amp;L651&amp;";Movement#"&amp;Q651&amp;";Consolidation#"&amp;T651&amp;";Custom1#"&amp;M651&amp;";Custom2#"&amp;N651&amp;";Custom3#"&amp;O651&amp;";Custom4#"&amp;P651&amp;"")</f>
        <v>#Invalid Syntax</v>
      </c>
      <c r="E651" s="216">
        <f>SUMIFS('Investment Analysis'!$H$22:$H$69,'Investment Analysis'!$E$22:$E$69,"Mutual Funds Equities Domestic",'Investment Analysis'!$AB$22:$AB$69,"4")</f>
        <v>0</v>
      </c>
      <c r="F651" s="217" t="s">
        <v>674</v>
      </c>
      <c r="G651" s="217" t="s">
        <v>962</v>
      </c>
      <c r="H651" s="218" t="e">
        <f t="shared" si="225"/>
        <v>#N/A</v>
      </c>
      <c r="I651" s="218" t="str">
        <f t="shared" si="225"/>
        <v>Jun</v>
      </c>
      <c r="J651" s="217" t="str">
        <f t="shared" si="225"/>
        <v>FY25</v>
      </c>
      <c r="K651" s="217" t="str">
        <f t="shared" si="225"/>
        <v>FCCS_Other Data</v>
      </c>
      <c r="L651" s="217" t="str">
        <f t="shared" si="225"/>
        <v>FCCS_No Intercompany</v>
      </c>
      <c r="M651" s="217" t="str">
        <f>+M$1</f>
        <v>No Custom1</v>
      </c>
      <c r="N651" s="217" t="str">
        <f t="shared" si="225"/>
        <v>No Custom2</v>
      </c>
      <c r="O651" s="217" t="s">
        <v>63</v>
      </c>
      <c r="P651" s="217" t="s">
        <v>921</v>
      </c>
      <c r="Q651" s="217" t="str">
        <f t="shared" si="226"/>
        <v>FCCS_ClosingBalance_Input</v>
      </c>
      <c r="R651" s="217" t="str">
        <f t="shared" si="227"/>
        <v>Actual</v>
      </c>
      <c r="S651" s="217" t="str">
        <f t="shared" si="227"/>
        <v>FCCS_YTD_Input</v>
      </c>
      <c r="T651" s="217" t="s">
        <v>850</v>
      </c>
    </row>
    <row r="652" spans="2:20" s="371" customFormat="1" x14ac:dyDescent="0.3">
      <c r="B652" s="214" t="s">
        <v>667</v>
      </c>
      <c r="C652" s="215" t="s">
        <v>949</v>
      </c>
      <c r="D652" s="216" t="str">
        <f>[2]!HsSetValue(E652,"FCC","Scenario#"&amp;R652&amp;";Years#"&amp;J652&amp;";Period#"&amp;I652&amp;";View#"&amp;S652&amp;";Entity#"&amp;H652&amp;";Data Source#"&amp;K652&amp;";Account#"&amp;F652&amp;";Intercompany#"&amp;L652&amp;";Movement#"&amp;Q652&amp;";Consolidation#"&amp;T652&amp;";Custom1#"&amp;M652&amp;";Custom2#"&amp;N652&amp;";Custom3#"&amp;O652&amp;";Custom4#"&amp;P652&amp;"")</f>
        <v>#Invalid Syntax</v>
      </c>
      <c r="E652" s="216">
        <f>SUMIFS('Investment Analysis'!$H$22:$H$69,'Investment Analysis'!$E$22:$E$69,"Mutual Funds Equities Domestic",'Investment Analysis'!$AB$22:$AB$69,"3")</f>
        <v>0</v>
      </c>
      <c r="F652" s="217" t="s">
        <v>674</v>
      </c>
      <c r="G652" s="217" t="s">
        <v>962</v>
      </c>
      <c r="H652" s="218" t="e">
        <f t="shared" si="225"/>
        <v>#N/A</v>
      </c>
      <c r="I652" s="218" t="str">
        <f t="shared" si="225"/>
        <v>Jun</v>
      </c>
      <c r="J652" s="217" t="str">
        <f t="shared" si="225"/>
        <v>FY25</v>
      </c>
      <c r="K652" s="217" t="str">
        <f t="shared" si="225"/>
        <v>FCCS_Other Data</v>
      </c>
      <c r="L652" s="217" t="str">
        <f t="shared" si="225"/>
        <v>FCCS_No Intercompany</v>
      </c>
      <c r="M652" s="217" t="str">
        <f>+M$1</f>
        <v>No Custom1</v>
      </c>
      <c r="N652" s="217" t="str">
        <f t="shared" si="225"/>
        <v>No Custom2</v>
      </c>
      <c r="O652" s="217" t="s">
        <v>622</v>
      </c>
      <c r="P652" s="217" t="s">
        <v>921</v>
      </c>
      <c r="Q652" s="217" t="str">
        <f t="shared" si="226"/>
        <v>FCCS_ClosingBalance_Input</v>
      </c>
      <c r="R652" s="217" t="str">
        <f t="shared" si="227"/>
        <v>Actual</v>
      </c>
      <c r="S652" s="217" t="str">
        <f t="shared" si="227"/>
        <v>FCCS_YTD_Input</v>
      </c>
      <c r="T652" s="217" t="s">
        <v>850</v>
      </c>
    </row>
    <row r="653" spans="2:20" s="371" customFormat="1" x14ac:dyDescent="0.3">
      <c r="B653" s="214" t="s">
        <v>667</v>
      </c>
      <c r="C653" s="215" t="s">
        <v>949</v>
      </c>
      <c r="D653" s="216" t="str">
        <f>[2]!HsSetValue(E653,"FCC","Scenario#"&amp;R653&amp;";Years#"&amp;J653&amp;";Period#"&amp;I653&amp;";View#"&amp;S653&amp;";Entity#"&amp;H653&amp;";Data Source#"&amp;K653&amp;";Account#"&amp;F653&amp;";Intercompany#"&amp;L653&amp;";Movement#"&amp;Q653&amp;";Consolidation#"&amp;T653&amp;";Custom1#"&amp;M653&amp;";Custom2#"&amp;N653&amp;";Custom3#"&amp;O653&amp;";Custom4#"&amp;P653&amp;"")</f>
        <v>#Invalid Syntax</v>
      </c>
      <c r="E653" s="216">
        <f>SUMIFS('Investment Analysis'!$H$22:$H$69,'Investment Analysis'!$E$22:$E$69,"Mutual Funds Equities Domestic",'Investment Analysis'!$AB$22:$AB$69,"2")</f>
        <v>0</v>
      </c>
      <c r="F653" s="217" t="s">
        <v>674</v>
      </c>
      <c r="G653" s="217" t="s">
        <v>962</v>
      </c>
      <c r="H653" s="218" t="e">
        <f t="shared" si="225"/>
        <v>#N/A</v>
      </c>
      <c r="I653" s="218" t="str">
        <f t="shared" si="225"/>
        <v>Jun</v>
      </c>
      <c r="J653" s="217" t="str">
        <f t="shared" si="225"/>
        <v>FY25</v>
      </c>
      <c r="K653" s="217" t="str">
        <f t="shared" si="225"/>
        <v>FCCS_Other Data</v>
      </c>
      <c r="L653" s="217" t="str">
        <f t="shared" si="225"/>
        <v>FCCS_No Intercompany</v>
      </c>
      <c r="M653" s="217" t="str">
        <f>+M$1</f>
        <v>No Custom1</v>
      </c>
      <c r="N653" s="217" t="str">
        <f t="shared" si="225"/>
        <v>No Custom2</v>
      </c>
      <c r="O653" s="217" t="s">
        <v>618</v>
      </c>
      <c r="P653" s="217" t="s">
        <v>921</v>
      </c>
      <c r="Q653" s="217" t="str">
        <f t="shared" si="226"/>
        <v>FCCS_ClosingBalance_Input</v>
      </c>
      <c r="R653" s="217" t="str">
        <f t="shared" si="227"/>
        <v>Actual</v>
      </c>
      <c r="S653" s="217" t="str">
        <f t="shared" si="227"/>
        <v>FCCS_YTD_Input</v>
      </c>
      <c r="T653" s="217" t="s">
        <v>850</v>
      </c>
    </row>
    <row r="654" spans="2:20" s="371" customFormat="1" x14ac:dyDescent="0.3">
      <c r="B654" s="214" t="s">
        <v>667</v>
      </c>
      <c r="C654" s="215" t="s">
        <v>949</v>
      </c>
      <c r="D654" s="216" t="str">
        <f>[2]!HsSetValue(E654,"FCC","Scenario#"&amp;R654&amp;";Years#"&amp;J654&amp;";Period#"&amp;I654&amp;";View#"&amp;S654&amp;";Entity#"&amp;H654&amp;";Data Source#"&amp;K654&amp;";Account#"&amp;F654&amp;";Intercompany#"&amp;L654&amp;";Movement#"&amp;Q654&amp;";Consolidation#"&amp;T654&amp;";Custom1#"&amp;M654&amp;";Custom2#"&amp;N654&amp;";Custom3#"&amp;O654&amp;";Custom4#"&amp;P654&amp;"")</f>
        <v>#Invalid Syntax</v>
      </c>
      <c r="E654" s="216">
        <f>SUMIFS('Investment Analysis'!$H$22:$H$69,'Investment Analysis'!$E$22:$E$69,"Mutual Funds Equities Domestic",'Investment Analysis'!$AB$22:$AB$69,"1")</f>
        <v>0</v>
      </c>
      <c r="F654" s="217" t="s">
        <v>674</v>
      </c>
      <c r="G654" s="217" t="s">
        <v>962</v>
      </c>
      <c r="H654" s="218" t="e">
        <f t="shared" si="225"/>
        <v>#N/A</v>
      </c>
      <c r="I654" s="218" t="str">
        <f t="shared" si="225"/>
        <v>Jun</v>
      </c>
      <c r="J654" s="217" t="str">
        <f t="shared" si="225"/>
        <v>FY25</v>
      </c>
      <c r="K654" s="217" t="str">
        <f t="shared" si="225"/>
        <v>FCCS_Other Data</v>
      </c>
      <c r="L654" s="217" t="str">
        <f t="shared" si="225"/>
        <v>FCCS_No Intercompany</v>
      </c>
      <c r="M654" s="217" t="str">
        <f>+M$1</f>
        <v>No Custom1</v>
      </c>
      <c r="N654" s="217" t="str">
        <f t="shared" si="225"/>
        <v>No Custom2</v>
      </c>
      <c r="O654" s="217" t="s">
        <v>64</v>
      </c>
      <c r="P654" s="217" t="s">
        <v>921</v>
      </c>
      <c r="Q654" s="217" t="str">
        <f t="shared" si="226"/>
        <v>FCCS_ClosingBalance_Input</v>
      </c>
      <c r="R654" s="217" t="str">
        <f t="shared" si="227"/>
        <v>Actual</v>
      </c>
      <c r="S654" s="217" t="str">
        <f t="shared" si="227"/>
        <v>FCCS_YTD_Input</v>
      </c>
      <c r="T654" s="217" t="s">
        <v>850</v>
      </c>
    </row>
    <row r="655" spans="2:20" x14ac:dyDescent="0.3">
      <c r="B655" s="214" t="s">
        <v>667</v>
      </c>
      <c r="C655" s="215" t="s">
        <v>949</v>
      </c>
      <c r="D655" s="216" t="str">
        <f>[2]!HsSetValue(E655,"FCC","Scenario#"&amp;R655&amp;";Years#"&amp;J655&amp;";Period#"&amp;I655&amp;";View#"&amp;S655&amp;";Entity#"&amp;H655&amp;";Data Source#"&amp;K655&amp;";Account#"&amp;F655&amp;";Intercompany#"&amp;L655&amp;";Movement#"&amp;Q655&amp;";Consolidation#"&amp;T655&amp;";Custom1#"&amp;M655&amp;";Custom2#"&amp;N655&amp;";Custom3#"&amp;O655&amp;";Custom4#"&amp;P655&amp;"")</f>
        <v>#Invalid Syntax</v>
      </c>
      <c r="E655" s="216">
        <f>SUMIFS('Investment Analysis'!$H$22:$H$69,'Investment Analysis'!$E$22:$E$69,"Mutual Funds Equities Domestic",'Investment Analysis'!$AI$22:$AI$69,"16")</f>
        <v>0</v>
      </c>
      <c r="F655" s="217" t="s">
        <v>674</v>
      </c>
      <c r="G655" s="217" t="s">
        <v>962</v>
      </c>
      <c r="H655" s="218" t="e">
        <f t="shared" si="225"/>
        <v>#N/A</v>
      </c>
      <c r="I655" s="218" t="str">
        <f t="shared" si="225"/>
        <v>Jun</v>
      </c>
      <c r="J655" s="217" t="str">
        <f t="shared" si="225"/>
        <v>FY25</v>
      </c>
      <c r="K655" s="217" t="s">
        <v>843</v>
      </c>
      <c r="L655" s="217" t="s">
        <v>844</v>
      </c>
      <c r="M655" s="217" t="s">
        <v>845</v>
      </c>
      <c r="N655" s="217" t="s">
        <v>846</v>
      </c>
      <c r="O655" s="217" t="s">
        <v>726</v>
      </c>
      <c r="P655" s="217" t="s">
        <v>921</v>
      </c>
      <c r="Q655" s="217" t="str">
        <f t="shared" si="226"/>
        <v>FCCS_ClosingBalance_Input</v>
      </c>
      <c r="R655" s="217" t="s">
        <v>169</v>
      </c>
      <c r="S655" s="217" t="s">
        <v>848</v>
      </c>
      <c r="T655" s="217" t="s">
        <v>850</v>
      </c>
    </row>
    <row r="656" spans="2:20" x14ac:dyDescent="0.3">
      <c r="B656" s="214" t="s">
        <v>667</v>
      </c>
      <c r="C656" s="215" t="s">
        <v>949</v>
      </c>
      <c r="D656" s="216" t="str">
        <f>[2]!HsSetValue(E656,"FCC","Scenario#"&amp;R656&amp;";Years#"&amp;J656&amp;";Period#"&amp;I656&amp;";View#"&amp;S656&amp;";Entity#"&amp;H656&amp;";Data Source#"&amp;K656&amp;";Account#"&amp;F656&amp;";Intercompany#"&amp;L656&amp;";Movement#"&amp;Q656&amp;";Consolidation#"&amp;T656&amp;";Custom1#"&amp;M656&amp;";Custom2#"&amp;N656&amp;";Custom3#"&amp;O656&amp;";Custom4#"&amp;P656&amp;"")</f>
        <v>#Invalid Syntax</v>
      </c>
      <c r="E656" s="216">
        <f>SUMIFS('Investment Analysis'!$H$22:$H$69,'Investment Analysis'!$E$22:$E$69,"Mutual Funds Equities Domestic",'Investment Analysis'!$AI$22:$AI$69,"15")</f>
        <v>0</v>
      </c>
      <c r="F656" s="217" t="s">
        <v>674</v>
      </c>
      <c r="G656" s="217" t="s">
        <v>962</v>
      </c>
      <c r="H656" s="218" t="e">
        <f t="shared" si="225"/>
        <v>#N/A</v>
      </c>
      <c r="I656" s="218" t="str">
        <f t="shared" si="225"/>
        <v>Jun</v>
      </c>
      <c r="J656" s="217" t="str">
        <f t="shared" si="225"/>
        <v>FY25</v>
      </c>
      <c r="K656" s="217" t="s">
        <v>843</v>
      </c>
      <c r="L656" s="217" t="s">
        <v>844</v>
      </c>
      <c r="M656" s="217" t="s">
        <v>845</v>
      </c>
      <c r="N656" s="217" t="s">
        <v>846</v>
      </c>
      <c r="O656" s="217" t="s">
        <v>727</v>
      </c>
      <c r="P656" s="217" t="s">
        <v>921</v>
      </c>
      <c r="Q656" s="217" t="str">
        <f t="shared" si="226"/>
        <v>FCCS_ClosingBalance_Input</v>
      </c>
      <c r="R656" s="217" t="s">
        <v>169</v>
      </c>
      <c r="S656" s="217" t="s">
        <v>848</v>
      </c>
      <c r="T656" s="217" t="s">
        <v>850</v>
      </c>
    </row>
    <row r="657" spans="2:20" x14ac:dyDescent="0.3">
      <c r="B657" s="214" t="s">
        <v>667</v>
      </c>
      <c r="C657" s="215" t="s">
        <v>949</v>
      </c>
      <c r="D657" s="216" t="str">
        <f>[2]!HsSetValue(E657,"FCC","Scenario#"&amp;R657&amp;";Years#"&amp;J657&amp;";Period#"&amp;I657&amp;";View#"&amp;S657&amp;";Entity#"&amp;H657&amp;";Data Source#"&amp;K657&amp;";Account#"&amp;F657&amp;";Intercompany#"&amp;L657&amp;";Movement#"&amp;Q657&amp;";Consolidation#"&amp;T657&amp;";Custom1#"&amp;M657&amp;";Custom2#"&amp;N657&amp;";Custom3#"&amp;O657&amp;";Custom4#"&amp;P657&amp;"")</f>
        <v>#Invalid Syntax</v>
      </c>
      <c r="E657" s="216">
        <f>SUMIFS('Investment Analysis'!$H$22:$H$69,'Investment Analysis'!$E$22:$E$69,"Mutual Funds Equities Domestic",'Investment Analysis'!$AI$22:$AI$69,"14")</f>
        <v>0</v>
      </c>
      <c r="F657" s="217" t="s">
        <v>674</v>
      </c>
      <c r="G657" s="217" t="s">
        <v>962</v>
      </c>
      <c r="H657" s="218" t="e">
        <f t="shared" si="225"/>
        <v>#N/A</v>
      </c>
      <c r="I657" s="218" t="str">
        <f t="shared" si="225"/>
        <v>Jun</v>
      </c>
      <c r="J657" s="217" t="str">
        <f t="shared" si="225"/>
        <v>FY25</v>
      </c>
      <c r="K657" s="217" t="s">
        <v>843</v>
      </c>
      <c r="L657" s="217" t="s">
        <v>844</v>
      </c>
      <c r="M657" s="217" t="s">
        <v>845</v>
      </c>
      <c r="N657" s="217" t="s">
        <v>846</v>
      </c>
      <c r="O657" s="217" t="s">
        <v>728</v>
      </c>
      <c r="P657" s="217" t="s">
        <v>921</v>
      </c>
      <c r="Q657" s="217" t="str">
        <f t="shared" si="226"/>
        <v>FCCS_ClosingBalance_Input</v>
      </c>
      <c r="R657" s="217" t="s">
        <v>169</v>
      </c>
      <c r="S657" s="217" t="s">
        <v>848</v>
      </c>
      <c r="T657" s="217" t="s">
        <v>850</v>
      </c>
    </row>
    <row r="658" spans="2:20" x14ac:dyDescent="0.3">
      <c r="B658" s="214" t="s">
        <v>667</v>
      </c>
      <c r="C658" s="215" t="s">
        <v>949</v>
      </c>
      <c r="D658" s="216" t="str">
        <f>[2]!HsSetValue(E658,"FCC","Scenario#"&amp;R658&amp;";Years#"&amp;J658&amp;";Period#"&amp;I658&amp;";View#"&amp;S658&amp;";Entity#"&amp;H658&amp;";Data Source#"&amp;K658&amp;";Account#"&amp;F658&amp;";Intercompany#"&amp;L658&amp;";Movement#"&amp;Q658&amp;";Consolidation#"&amp;T658&amp;";Custom1#"&amp;M658&amp;";Custom2#"&amp;N658&amp;";Custom3#"&amp;O658&amp;";Custom4#"&amp;P658&amp;"")</f>
        <v>#Invalid Syntax</v>
      </c>
      <c r="E658" s="216">
        <f>SUMIFS('Investment Analysis'!$H$22:$H$69,'Investment Analysis'!$E$22:$E$69,"Mutual Funds Equities Domestic",'Investment Analysis'!$AB$22:$AB$69,"0")+SUMIFS('Investment Analysis'!$H$22:$H$69,'Investment Analysis'!$E$22:$E$69,"Mutual Funds Equities Domestic",'Investment Analysis'!$AI$22:$AI$69,"0")</f>
        <v>0</v>
      </c>
      <c r="F658" s="217" t="s">
        <v>674</v>
      </c>
      <c r="G658" s="217" t="s">
        <v>962</v>
      </c>
      <c r="H658" s="218" t="e">
        <f t="shared" si="225"/>
        <v>#N/A</v>
      </c>
      <c r="I658" s="218" t="str">
        <f t="shared" si="225"/>
        <v>Jun</v>
      </c>
      <c r="J658" s="217" t="str">
        <f t="shared" si="225"/>
        <v>FY25</v>
      </c>
      <c r="K658" s="217" t="s">
        <v>843</v>
      </c>
      <c r="L658" s="217" t="s">
        <v>844</v>
      </c>
      <c r="M658" s="217" t="s">
        <v>845</v>
      </c>
      <c r="N658" s="217" t="s">
        <v>846</v>
      </c>
      <c r="O658" s="217" t="s">
        <v>609</v>
      </c>
      <c r="P658" s="217" t="s">
        <v>921</v>
      </c>
      <c r="Q658" s="217" t="str">
        <f t="shared" si="226"/>
        <v>FCCS_ClosingBalance_Input</v>
      </c>
      <c r="R658" s="217" t="s">
        <v>169</v>
      </c>
      <c r="S658" s="217" t="s">
        <v>848</v>
      </c>
      <c r="T658" s="217" t="s">
        <v>850</v>
      </c>
    </row>
    <row r="659" spans="2:20" x14ac:dyDescent="0.3">
      <c r="B659" s="210"/>
      <c r="C659" s="211"/>
      <c r="D659" s="212"/>
      <c r="E659" s="212"/>
    </row>
    <row r="660" spans="2:20" x14ac:dyDescent="0.3">
      <c r="B660" s="219" t="s">
        <v>1014</v>
      </c>
      <c r="C660" s="220" t="s">
        <v>949</v>
      </c>
      <c r="D660" s="221" t="str">
        <f>[2]!HsSetValue(E660,"FCC","Scenario#"&amp;R660&amp;";Years#"&amp;J660&amp;";Period#"&amp;I660&amp;";View#"&amp;S660&amp;";Entity#"&amp;H660&amp;";Data Source#"&amp;K660&amp;";Account#"&amp;F660&amp;";Intercompany#"&amp;L660&amp;";Movement#"&amp;Q660&amp;";Consolidation#"&amp;T660&amp;";Custom1#"&amp;M660&amp;";Custom2#"&amp;N660&amp;";Custom3#"&amp;O660&amp;";Custom4#"&amp;P660&amp;"")</f>
        <v>#Invalid Syntax</v>
      </c>
      <c r="E660" s="221">
        <f>SUMIFS('Investment Analysis'!$H$22:$H$69,'Investment Analysis'!$E$22:$E$69,"Mutual Funds Equities Domestic",'Investment Analysis'!$AK$22:$AK$69,"21")</f>
        <v>0</v>
      </c>
      <c r="F660" s="222" t="s">
        <v>675</v>
      </c>
      <c r="G660" s="222" t="s">
        <v>1035</v>
      </c>
      <c r="H660" s="223" t="e">
        <f>+H$2</f>
        <v>#N/A</v>
      </c>
      <c r="I660" s="223" t="str">
        <f t="shared" ref="I660:J783" si="228">+I$2</f>
        <v>Jun</v>
      </c>
      <c r="J660" s="222" t="str">
        <f t="shared" si="225"/>
        <v>FY25</v>
      </c>
      <c r="K660" s="222" t="s">
        <v>843</v>
      </c>
      <c r="L660" s="222" t="s">
        <v>844</v>
      </c>
      <c r="M660" s="222" t="s">
        <v>845</v>
      </c>
      <c r="N660" s="222" t="s">
        <v>846</v>
      </c>
      <c r="O660" s="222" t="s">
        <v>729</v>
      </c>
      <c r="P660" s="222" t="s">
        <v>921</v>
      </c>
      <c r="Q660" s="222" t="str">
        <f t="shared" ref="Q660:Q664" si="229">Q$2</f>
        <v>FCCS_ClosingBalance_Input</v>
      </c>
      <c r="R660" s="222" t="s">
        <v>169</v>
      </c>
      <c r="S660" s="222" t="s">
        <v>848</v>
      </c>
      <c r="T660" s="222" t="s">
        <v>850</v>
      </c>
    </row>
    <row r="661" spans="2:20" x14ac:dyDescent="0.3">
      <c r="B661" s="219" t="s">
        <v>1014</v>
      </c>
      <c r="C661" s="220" t="s">
        <v>949</v>
      </c>
      <c r="D661" s="221" t="str">
        <f>[2]!HsSetValue(E661,"FCC","Scenario#"&amp;R661&amp;";Years#"&amp;J661&amp;";Period#"&amp;I661&amp;";View#"&amp;S661&amp;";Entity#"&amp;H661&amp;";Data Source#"&amp;K661&amp;";Account#"&amp;F661&amp;";Intercompany#"&amp;L661&amp;";Movement#"&amp;Q661&amp;";Consolidation#"&amp;T661&amp;";Custom1#"&amp;M661&amp;";Custom2#"&amp;N661&amp;";Custom3#"&amp;O661&amp;";Custom4#"&amp;P661&amp;"")</f>
        <v>#Invalid Syntax</v>
      </c>
      <c r="E661" s="221">
        <f>SUMIFS('Investment Analysis'!$H$22:$H$69,'Investment Analysis'!$E$22:$E$69,"Mutual Funds Equities Domestic",'Investment Analysis'!$AK$22:$AK$69,"22")</f>
        <v>0</v>
      </c>
      <c r="F661" s="222" t="s">
        <v>675</v>
      </c>
      <c r="G661" s="222" t="s">
        <v>1035</v>
      </c>
      <c r="H661" s="223" t="e">
        <f>+H$2</f>
        <v>#N/A</v>
      </c>
      <c r="I661" s="223" t="str">
        <f t="shared" si="228"/>
        <v>Jun</v>
      </c>
      <c r="J661" s="222" t="str">
        <f t="shared" si="228"/>
        <v>FY25</v>
      </c>
      <c r="K661" s="222" t="s">
        <v>843</v>
      </c>
      <c r="L661" s="222" t="s">
        <v>844</v>
      </c>
      <c r="M661" s="222" t="s">
        <v>845</v>
      </c>
      <c r="N661" s="222" t="s">
        <v>846</v>
      </c>
      <c r="O661" s="222" t="s">
        <v>730</v>
      </c>
      <c r="P661" s="222" t="s">
        <v>921</v>
      </c>
      <c r="Q661" s="222" t="str">
        <f t="shared" si="229"/>
        <v>FCCS_ClosingBalance_Input</v>
      </c>
      <c r="R661" s="222" t="s">
        <v>169</v>
      </c>
      <c r="S661" s="222" t="s">
        <v>848</v>
      </c>
      <c r="T661" s="222" t="s">
        <v>850</v>
      </c>
    </row>
    <row r="662" spans="2:20" x14ac:dyDescent="0.3">
      <c r="B662" s="219" t="s">
        <v>1014</v>
      </c>
      <c r="C662" s="220" t="s">
        <v>949</v>
      </c>
      <c r="D662" s="221" t="str">
        <f>[2]!HsSetValue(E662,"FCC","Scenario#"&amp;R662&amp;";Years#"&amp;J662&amp;";Period#"&amp;I662&amp;";View#"&amp;S662&amp;";Entity#"&amp;H662&amp;";Data Source#"&amp;K662&amp;";Account#"&amp;F662&amp;";Intercompany#"&amp;L662&amp;";Movement#"&amp;Q662&amp;";Consolidation#"&amp;T662&amp;";Custom1#"&amp;M662&amp;";Custom2#"&amp;N662&amp;";Custom3#"&amp;O662&amp;";Custom4#"&amp;P662&amp;"")</f>
        <v>#Invalid Syntax</v>
      </c>
      <c r="E662" s="221">
        <f>SUMIFS('Investment Analysis'!$H$22:$H$69,'Investment Analysis'!$E$22:$E$69,"Mutual Funds Equities Domestic",'Investment Analysis'!$AK$22:$AK$69,"23")</f>
        <v>0</v>
      </c>
      <c r="F662" s="222" t="s">
        <v>675</v>
      </c>
      <c r="G662" s="222" t="s">
        <v>1035</v>
      </c>
      <c r="H662" s="223" t="e">
        <f>+H$2</f>
        <v>#N/A</v>
      </c>
      <c r="I662" s="223" t="str">
        <f t="shared" si="228"/>
        <v>Jun</v>
      </c>
      <c r="J662" s="222" t="str">
        <f t="shared" si="228"/>
        <v>FY25</v>
      </c>
      <c r="K662" s="222" t="s">
        <v>843</v>
      </c>
      <c r="L662" s="222" t="s">
        <v>844</v>
      </c>
      <c r="M662" s="222" t="s">
        <v>845</v>
      </c>
      <c r="N662" s="222" t="s">
        <v>846</v>
      </c>
      <c r="O662" s="222" t="s">
        <v>731</v>
      </c>
      <c r="P662" s="222" t="s">
        <v>921</v>
      </c>
      <c r="Q662" s="222" t="str">
        <f t="shared" si="229"/>
        <v>FCCS_ClosingBalance_Input</v>
      </c>
      <c r="R662" s="222" t="s">
        <v>169</v>
      </c>
      <c r="S662" s="222" t="s">
        <v>848</v>
      </c>
      <c r="T662" s="222" t="s">
        <v>850</v>
      </c>
    </row>
    <row r="663" spans="2:20" x14ac:dyDescent="0.3">
      <c r="B663" s="219" t="s">
        <v>1014</v>
      </c>
      <c r="C663" s="220" t="s">
        <v>949</v>
      </c>
      <c r="D663" s="221" t="str">
        <f>[2]!HsSetValue(E663,"FCC","Scenario#"&amp;R663&amp;";Years#"&amp;J663&amp;";Period#"&amp;I663&amp;";View#"&amp;S663&amp;";Entity#"&amp;H663&amp;";Data Source#"&amp;K663&amp;";Account#"&amp;F663&amp;";Intercompany#"&amp;L663&amp;";Movement#"&amp;Q663&amp;";Consolidation#"&amp;T663&amp;";Custom1#"&amp;M663&amp;";Custom2#"&amp;N663&amp;";Custom3#"&amp;O663&amp;";Custom4#"&amp;P663&amp;"")</f>
        <v>#Invalid Syntax</v>
      </c>
      <c r="E663" s="221">
        <f>SUMIFS('Investment Analysis'!$H$22:$H$69,'Investment Analysis'!$E$22:$E$69,"Mutual Funds Equities Domestic",'Investment Analysis'!$AK$22:$AK$69,"24")</f>
        <v>0</v>
      </c>
      <c r="F663" s="222" t="s">
        <v>675</v>
      </c>
      <c r="G663" s="222" t="s">
        <v>1035</v>
      </c>
      <c r="H663" s="223" t="e">
        <f>+H$2</f>
        <v>#N/A</v>
      </c>
      <c r="I663" s="223" t="str">
        <f t="shared" si="228"/>
        <v>Jun</v>
      </c>
      <c r="J663" s="222" t="str">
        <f t="shared" si="228"/>
        <v>FY25</v>
      </c>
      <c r="K663" s="222" t="s">
        <v>843</v>
      </c>
      <c r="L663" s="222" t="s">
        <v>844</v>
      </c>
      <c r="M663" s="222" t="s">
        <v>845</v>
      </c>
      <c r="N663" s="222" t="s">
        <v>846</v>
      </c>
      <c r="O663" s="222" t="s">
        <v>732</v>
      </c>
      <c r="P663" s="222" t="s">
        <v>921</v>
      </c>
      <c r="Q663" s="222" t="str">
        <f t="shared" si="229"/>
        <v>FCCS_ClosingBalance_Input</v>
      </c>
      <c r="R663" s="222" t="s">
        <v>169</v>
      </c>
      <c r="S663" s="222" t="s">
        <v>848</v>
      </c>
      <c r="T663" s="222" t="s">
        <v>850</v>
      </c>
    </row>
    <row r="664" spans="2:20" x14ac:dyDescent="0.3">
      <c r="B664" s="219" t="s">
        <v>1014</v>
      </c>
      <c r="C664" s="220" t="s">
        <v>949</v>
      </c>
      <c r="D664" s="221" t="str">
        <f>[2]!HsSetValue(E664,"FCC","Scenario#"&amp;R664&amp;";Years#"&amp;J664&amp;";Period#"&amp;I664&amp;";View#"&amp;S664&amp;";Entity#"&amp;H664&amp;";Data Source#"&amp;K664&amp;";Account#"&amp;F664&amp;";Intercompany#"&amp;L664&amp;";Movement#"&amp;Q664&amp;";Consolidation#"&amp;T664&amp;";Custom1#"&amp;M664&amp;";Custom2#"&amp;N664&amp;";Custom3#"&amp;O664&amp;";Custom4#"&amp;P664&amp;"")</f>
        <v>#Invalid Syntax</v>
      </c>
      <c r="E664" s="221">
        <f>SUMIFS('Investment Analysis'!$H$22:$H$69,'Investment Analysis'!$E$22:$E$69,"Mutual Funds Equities Domestic",'Investment Analysis'!$AK$22:$AK$69,"25")</f>
        <v>0</v>
      </c>
      <c r="F664" s="222" t="s">
        <v>675</v>
      </c>
      <c r="G664" s="222" t="s">
        <v>1035</v>
      </c>
      <c r="H664" s="223" t="e">
        <f>+H$2</f>
        <v>#N/A</v>
      </c>
      <c r="I664" s="223" t="str">
        <f t="shared" si="228"/>
        <v>Jun</v>
      </c>
      <c r="J664" s="222" t="str">
        <f t="shared" si="228"/>
        <v>FY25</v>
      </c>
      <c r="K664" s="222" t="s">
        <v>843</v>
      </c>
      <c r="L664" s="222" t="s">
        <v>844</v>
      </c>
      <c r="M664" s="222" t="s">
        <v>845</v>
      </c>
      <c r="N664" s="222" t="s">
        <v>846</v>
      </c>
      <c r="O664" s="222" t="s">
        <v>733</v>
      </c>
      <c r="P664" s="222" t="s">
        <v>921</v>
      </c>
      <c r="Q664" s="222" t="str">
        <f t="shared" si="229"/>
        <v>FCCS_ClosingBalance_Input</v>
      </c>
      <c r="R664" s="222" t="s">
        <v>169</v>
      </c>
      <c r="S664" s="222" t="s">
        <v>848</v>
      </c>
      <c r="T664" s="222" t="s">
        <v>850</v>
      </c>
    </row>
    <row r="665" spans="2:20" x14ac:dyDescent="0.3">
      <c r="B665" s="210"/>
      <c r="C665" s="211"/>
      <c r="D665" s="212"/>
      <c r="E665" s="212"/>
    </row>
    <row r="666" spans="2:20" x14ac:dyDescent="0.3">
      <c r="B666" s="364" t="s">
        <v>668</v>
      </c>
      <c r="C666" s="364" t="s">
        <v>884</v>
      </c>
      <c r="D666" s="366" t="str">
        <f>[2]!HsSetValue(E666,"FCC","Scenario#"&amp;R666&amp;";Years#"&amp;J666&amp;";Period#"&amp;I666&amp;";View#"&amp;S666&amp;";Entity#"&amp;H666&amp;";Data Source#"&amp;K666&amp;";Account#"&amp;F666&amp;";Intercompany#"&amp;L666&amp;";Movement#"&amp;Q666&amp;";Consolidation#"&amp;T666&amp;";Custom1#"&amp;M666&amp;";Custom2#"&amp;N666&amp;";Custom3#"&amp;O666&amp;";Custom4#"&amp;P666&amp;"")</f>
        <v>#Invalid Syntax</v>
      </c>
      <c r="E666" s="366">
        <f>SUMIF('Investment Analysis'!$E$22:$E$69,'FCC Investments - Load Tab'!C666,'Investment Analysis'!$K$22:$K$69)</f>
        <v>0</v>
      </c>
      <c r="F666" s="367" t="s">
        <v>673</v>
      </c>
      <c r="G666" s="367" t="str">
        <f>"Inv. Analysis - Interest Rate Risk - "&amp;C666</f>
        <v xml:space="preserve">Inv. Analysis - Interest Rate Risk - Mutual Funds Equities International    </v>
      </c>
      <c r="H666" s="368" t="e">
        <f>+H$2</f>
        <v>#N/A</v>
      </c>
      <c r="I666" s="368" t="str">
        <f t="shared" si="228"/>
        <v>Jun</v>
      </c>
      <c r="J666" s="367" t="str">
        <f>+J$2</f>
        <v>FY25</v>
      </c>
      <c r="K666" s="367" t="s">
        <v>843</v>
      </c>
      <c r="L666" s="367" t="s">
        <v>844</v>
      </c>
      <c r="M666" s="367" t="s">
        <v>845</v>
      </c>
      <c r="N666" s="367" t="s">
        <v>846</v>
      </c>
      <c r="O666" s="367" t="s">
        <v>721</v>
      </c>
      <c r="P666" s="367" t="s">
        <v>877</v>
      </c>
      <c r="Q666" s="367" t="str">
        <f t="shared" ref="Q666:Q670" si="230">Q$2</f>
        <v>FCCS_ClosingBalance_Input</v>
      </c>
      <c r="R666" s="367" t="s">
        <v>169</v>
      </c>
      <c r="S666" s="367" t="s">
        <v>848</v>
      </c>
      <c r="T666" s="367" t="s">
        <v>850</v>
      </c>
    </row>
    <row r="667" spans="2:20" x14ac:dyDescent="0.3">
      <c r="B667" s="364" t="s">
        <v>668</v>
      </c>
      <c r="C667" s="364" t="s">
        <v>884</v>
      </c>
      <c r="D667" s="366" t="str">
        <f>[2]!HsSetValue(E667,"FCC","Scenario#"&amp;R667&amp;";Years#"&amp;J667&amp;";Period#"&amp;I667&amp;";View#"&amp;S667&amp;";Entity#"&amp;H667&amp;";Data Source#"&amp;K667&amp;";Account#"&amp;F667&amp;";Intercompany#"&amp;L667&amp;";Movement#"&amp;Q667&amp;";Consolidation#"&amp;T667&amp;";Custom1#"&amp;M667&amp;";Custom2#"&amp;N667&amp;";Custom3#"&amp;O667&amp;";Custom4#"&amp;P667&amp;"")</f>
        <v>#Invalid Syntax</v>
      </c>
      <c r="E667" s="366">
        <f>SUMIF('Investment Analysis'!$E$22:$E$69,'FCC Investments - Load Tab'!C666,'Investment Analysis'!$L$22:$L$69)</f>
        <v>0</v>
      </c>
      <c r="F667" s="367" t="s">
        <v>673</v>
      </c>
      <c r="G667" s="367" t="str">
        <f t="shared" ref="G667:G670" si="231">"Inv. Analysis - Interest Rate Risk - "&amp;C667</f>
        <v xml:space="preserve">Inv. Analysis - Interest Rate Risk - Mutual Funds Equities International    </v>
      </c>
      <c r="H667" s="368" t="e">
        <f>+H$2</f>
        <v>#N/A</v>
      </c>
      <c r="I667" s="368" t="str">
        <f t="shared" si="228"/>
        <v>Jun</v>
      </c>
      <c r="J667" s="367" t="str">
        <f>+J$2</f>
        <v>FY25</v>
      </c>
      <c r="K667" s="367" t="str">
        <f t="shared" ref="K667:N670" si="232">+K$2</f>
        <v>FCCS_Other Data</v>
      </c>
      <c r="L667" s="367" t="str">
        <f t="shared" si="232"/>
        <v>FCCS_No Intercompany</v>
      </c>
      <c r="M667" s="367" t="str">
        <f>+M$1</f>
        <v>No Custom1</v>
      </c>
      <c r="N667" s="367" t="str">
        <f t="shared" si="232"/>
        <v>No Custom2</v>
      </c>
      <c r="O667" s="367" t="s">
        <v>722</v>
      </c>
      <c r="P667" s="367" t="s">
        <v>877</v>
      </c>
      <c r="Q667" s="367" t="str">
        <f t="shared" si="230"/>
        <v>FCCS_ClosingBalance_Input</v>
      </c>
      <c r="R667" s="367" t="str">
        <f t="shared" ref="R667:S670" si="233">+R$2</f>
        <v>Actual</v>
      </c>
      <c r="S667" s="367" t="str">
        <f t="shared" si="233"/>
        <v>FCCS_YTD_Input</v>
      </c>
      <c r="T667" s="367" t="s">
        <v>850</v>
      </c>
    </row>
    <row r="668" spans="2:20" x14ac:dyDescent="0.3">
      <c r="B668" s="364" t="s">
        <v>668</v>
      </c>
      <c r="C668" s="364" t="s">
        <v>884</v>
      </c>
      <c r="D668" s="366" t="str">
        <f>[2]!HsSetValue(E668,"FCC","Scenario#"&amp;R668&amp;";Years#"&amp;J668&amp;";Period#"&amp;I668&amp;";View#"&amp;S668&amp;";Entity#"&amp;H668&amp;";Data Source#"&amp;K668&amp;";Account#"&amp;F668&amp;";Intercompany#"&amp;L668&amp;";Movement#"&amp;Q668&amp;";Consolidation#"&amp;T668&amp;";Custom1#"&amp;M668&amp;";Custom2#"&amp;N668&amp;";Custom3#"&amp;O668&amp;";Custom4#"&amp;P668&amp;"")</f>
        <v>#Invalid Syntax</v>
      </c>
      <c r="E668" s="366">
        <f>SUMIF('Investment Analysis'!$E$22:$E$69,'FCC Investments - Load Tab'!C666,'Investment Analysis'!$M$22:$M$69)</f>
        <v>0</v>
      </c>
      <c r="F668" s="367" t="s">
        <v>673</v>
      </c>
      <c r="G668" s="367" t="str">
        <f t="shared" si="231"/>
        <v xml:space="preserve">Inv. Analysis - Interest Rate Risk - Mutual Funds Equities International    </v>
      </c>
      <c r="H668" s="368" t="e">
        <f>+H$2</f>
        <v>#N/A</v>
      </c>
      <c r="I668" s="368" t="str">
        <f t="shared" si="228"/>
        <v>Jun</v>
      </c>
      <c r="J668" s="367" t="str">
        <f>+J$2</f>
        <v>FY25</v>
      </c>
      <c r="K668" s="367" t="str">
        <f t="shared" si="232"/>
        <v>FCCS_Other Data</v>
      </c>
      <c r="L668" s="367" t="str">
        <f t="shared" si="232"/>
        <v>FCCS_No Intercompany</v>
      </c>
      <c r="M668" s="367" t="str">
        <f>+M$1</f>
        <v>No Custom1</v>
      </c>
      <c r="N668" s="367" t="str">
        <f t="shared" si="232"/>
        <v>No Custom2</v>
      </c>
      <c r="O668" s="367" t="s">
        <v>723</v>
      </c>
      <c r="P668" s="367" t="s">
        <v>877</v>
      </c>
      <c r="Q668" s="367" t="str">
        <f t="shared" si="230"/>
        <v>FCCS_ClosingBalance_Input</v>
      </c>
      <c r="R668" s="367" t="str">
        <f t="shared" si="233"/>
        <v>Actual</v>
      </c>
      <c r="S668" s="367" t="str">
        <f t="shared" si="233"/>
        <v>FCCS_YTD_Input</v>
      </c>
      <c r="T668" s="367" t="s">
        <v>850</v>
      </c>
    </row>
    <row r="669" spans="2:20" x14ac:dyDescent="0.3">
      <c r="B669" s="364" t="s">
        <v>668</v>
      </c>
      <c r="C669" s="364" t="s">
        <v>884</v>
      </c>
      <c r="D669" s="366" t="str">
        <f>[2]!HsSetValue(E669,"FCC","Scenario#"&amp;R669&amp;";Years#"&amp;J669&amp;";Period#"&amp;I669&amp;";View#"&amp;S669&amp;";Entity#"&amp;H669&amp;";Data Source#"&amp;K669&amp;";Account#"&amp;F669&amp;";Intercompany#"&amp;L669&amp;";Movement#"&amp;Q669&amp;";Consolidation#"&amp;T669&amp;";Custom1#"&amp;M669&amp;";Custom2#"&amp;N669&amp;";Custom3#"&amp;O669&amp;";Custom4#"&amp;P669&amp;"")</f>
        <v>#Invalid Syntax</v>
      </c>
      <c r="E669" s="366">
        <f>SUMIF('Investment Analysis'!$E$22:$E$69,'FCC Investments - Load Tab'!C669,'Investment Analysis'!$N$22:$N$69)</f>
        <v>0</v>
      </c>
      <c r="F669" s="367" t="s">
        <v>673</v>
      </c>
      <c r="G669" s="367" t="str">
        <f t="shared" si="231"/>
        <v xml:space="preserve">Inv. Analysis - Interest Rate Risk - Mutual Funds Equities International    </v>
      </c>
      <c r="H669" s="368" t="e">
        <f>+H$2</f>
        <v>#N/A</v>
      </c>
      <c r="I669" s="368" t="str">
        <f t="shared" si="228"/>
        <v>Jun</v>
      </c>
      <c r="J669" s="367" t="str">
        <f>+J$2</f>
        <v>FY25</v>
      </c>
      <c r="K669" s="367" t="str">
        <f t="shared" si="232"/>
        <v>FCCS_Other Data</v>
      </c>
      <c r="L669" s="367" t="str">
        <f t="shared" si="232"/>
        <v>FCCS_No Intercompany</v>
      </c>
      <c r="M669" s="367" t="str">
        <f>+M$1</f>
        <v>No Custom1</v>
      </c>
      <c r="N669" s="367" t="str">
        <f t="shared" si="232"/>
        <v>No Custom2</v>
      </c>
      <c r="O669" s="367" t="s">
        <v>724</v>
      </c>
      <c r="P669" s="367" t="s">
        <v>877</v>
      </c>
      <c r="Q669" s="367" t="str">
        <f t="shared" si="230"/>
        <v>FCCS_ClosingBalance_Input</v>
      </c>
      <c r="R669" s="367" t="str">
        <f t="shared" si="233"/>
        <v>Actual</v>
      </c>
      <c r="S669" s="367" t="str">
        <f t="shared" si="233"/>
        <v>FCCS_YTD_Input</v>
      </c>
      <c r="T669" s="367" t="s">
        <v>850</v>
      </c>
    </row>
    <row r="670" spans="2:20" x14ac:dyDescent="0.3">
      <c r="B670" s="364" t="s">
        <v>668</v>
      </c>
      <c r="C670" s="364" t="s">
        <v>884</v>
      </c>
      <c r="D670" s="366" t="str">
        <f>[2]!HsSetValue(E670,"FCC","Scenario#"&amp;R670&amp;";Years#"&amp;J670&amp;";Period#"&amp;I670&amp;";View#"&amp;S670&amp;";Entity#"&amp;H670&amp;";Data Source#"&amp;K670&amp;";Account#"&amp;F670&amp;";Intercompany#"&amp;L670&amp;";Movement#"&amp;Q670&amp;";Consolidation#"&amp;T670&amp;";Custom1#"&amp;M670&amp;";Custom2#"&amp;N670&amp;";Custom3#"&amp;O670&amp;";Custom4#"&amp;P670&amp;"")</f>
        <v>#Invalid Syntax</v>
      </c>
      <c r="E670" s="366">
        <f>SUMIF('Investment Analysis'!$E$2:$E$69,'FCC Investments - Load Tab'!C670,'Investment Analysis'!$O$2:$O$69)</f>
        <v>0</v>
      </c>
      <c r="F670" s="367" t="s">
        <v>673</v>
      </c>
      <c r="G670" s="367" t="str">
        <f t="shared" si="231"/>
        <v xml:space="preserve">Inv. Analysis - Interest Rate Risk - Mutual Funds Equities International    </v>
      </c>
      <c r="H670" s="368" t="e">
        <f>+H$2</f>
        <v>#N/A</v>
      </c>
      <c r="I670" s="368" t="str">
        <f t="shared" si="228"/>
        <v>Jun</v>
      </c>
      <c r="J670" s="367" t="str">
        <f>+J$2</f>
        <v>FY25</v>
      </c>
      <c r="K670" s="367" t="str">
        <f t="shared" si="232"/>
        <v>FCCS_Other Data</v>
      </c>
      <c r="L670" s="367" t="str">
        <f t="shared" si="232"/>
        <v>FCCS_No Intercompany</v>
      </c>
      <c r="M670" s="367" t="str">
        <f>+M$1</f>
        <v>No Custom1</v>
      </c>
      <c r="N670" s="367" t="str">
        <f t="shared" si="232"/>
        <v>No Custom2</v>
      </c>
      <c r="O670" s="367" t="s">
        <v>725</v>
      </c>
      <c r="P670" s="367" t="s">
        <v>877</v>
      </c>
      <c r="Q670" s="367" t="str">
        <f t="shared" si="230"/>
        <v>FCCS_ClosingBalance_Input</v>
      </c>
      <c r="R670" s="367" t="str">
        <f t="shared" si="233"/>
        <v>Actual</v>
      </c>
      <c r="S670" s="367" t="str">
        <f t="shared" si="233"/>
        <v>FCCS_YTD_Input</v>
      </c>
      <c r="T670" s="367" t="s">
        <v>850</v>
      </c>
    </row>
    <row r="671" spans="2:20" ht="16.5" customHeight="1" x14ac:dyDescent="0.3">
      <c r="B671" s="210"/>
      <c r="C671" s="210"/>
      <c r="D671" s="212"/>
      <c r="E671" s="212"/>
    </row>
    <row r="672" spans="2:20" x14ac:dyDescent="0.3">
      <c r="B672" s="214" t="s">
        <v>667</v>
      </c>
      <c r="C672" s="214" t="s">
        <v>884</v>
      </c>
      <c r="D672" s="216" t="str">
        <f>[2]!HsSetValue(E672,"FCC","Scenario#"&amp;R672&amp;";Years#"&amp;J672&amp;";Period#"&amp;I672&amp;";View#"&amp;S672&amp;";Entity#"&amp;H672&amp;";Data Source#"&amp;K672&amp;";Account#"&amp;F672&amp;";Intercompany#"&amp;L672&amp;";Movement#"&amp;Q672&amp;";Consolidation#"&amp;T672&amp;";Custom1#"&amp;M672&amp;";Custom2#"&amp;N672&amp;";Custom3#"&amp;O672&amp;";Custom4#"&amp;P672&amp;"")</f>
        <v>#Invalid Syntax</v>
      </c>
      <c r="E672" s="216">
        <f>SUMIFS('Investment Analysis'!$H$22:$H$69,'Investment Analysis'!$E$22:$E$69,"Mutual Funds Equities International",'Investment Analysis'!$AB$22:$AB$69,"10")</f>
        <v>0</v>
      </c>
      <c r="F672" s="217" t="s">
        <v>674</v>
      </c>
      <c r="G672" s="217" t="str">
        <f t="shared" ref="G672:G685" si="234">"Inv. Analysis - Credit Quality Risk - "&amp;C672</f>
        <v xml:space="preserve">Inv. Analysis - Credit Quality Risk - Mutual Funds Equities International    </v>
      </c>
      <c r="H672" s="218" t="e">
        <f t="shared" ref="H672:N685" si="235">+H$2</f>
        <v>#N/A</v>
      </c>
      <c r="I672" s="218" t="str">
        <f t="shared" si="235"/>
        <v>Jun</v>
      </c>
      <c r="J672" s="217" t="str">
        <f t="shared" si="235"/>
        <v>FY25</v>
      </c>
      <c r="K672" s="217" t="str">
        <f t="shared" si="235"/>
        <v>FCCS_Other Data</v>
      </c>
      <c r="L672" s="217" t="str">
        <f t="shared" si="235"/>
        <v>FCCS_No Intercompany</v>
      </c>
      <c r="M672" s="217" t="str">
        <f t="shared" ref="M672:M685" si="236">+M$1</f>
        <v>No Custom1</v>
      </c>
      <c r="N672" s="217" t="str">
        <f t="shared" si="235"/>
        <v>No Custom2</v>
      </c>
      <c r="O672" s="217" t="s">
        <v>433</v>
      </c>
      <c r="P672" s="217" t="s">
        <v>877</v>
      </c>
      <c r="Q672" s="217" t="str">
        <f t="shared" ref="Q672:Q685" si="237">Q$2</f>
        <v>FCCS_ClosingBalance_Input</v>
      </c>
      <c r="R672" s="217" t="str">
        <f t="shared" ref="R672:S685" si="238">+R$2</f>
        <v>Actual</v>
      </c>
      <c r="S672" s="217" t="str">
        <f t="shared" si="238"/>
        <v>FCCS_YTD_Input</v>
      </c>
      <c r="T672" s="217" t="s">
        <v>850</v>
      </c>
    </row>
    <row r="673" spans="2:20" x14ac:dyDescent="0.3">
      <c r="B673" s="214" t="s">
        <v>667</v>
      </c>
      <c r="C673" s="214" t="s">
        <v>884</v>
      </c>
      <c r="D673" s="216" t="str">
        <f>[2]!HsSetValue(E673,"FCC","Scenario#"&amp;R673&amp;";Years#"&amp;J673&amp;";Period#"&amp;I673&amp;";View#"&amp;S673&amp;";Entity#"&amp;H673&amp;";Data Source#"&amp;K673&amp;";Account#"&amp;F673&amp;";Intercompany#"&amp;L673&amp;";Movement#"&amp;Q673&amp;";Consolidation#"&amp;T673&amp;";Custom1#"&amp;M673&amp;";Custom2#"&amp;N673&amp;";Custom3#"&amp;O673&amp;";Custom4#"&amp;P673&amp;"")</f>
        <v>#Invalid Syntax</v>
      </c>
      <c r="E673" s="216">
        <f>SUMIFS('Investment Analysis'!$H$22:$H$69,'Investment Analysis'!$E$22:$E$69,"Mutual Funds Equities International",'Investment Analysis'!$AB$22:$AB$69,"9")</f>
        <v>0</v>
      </c>
      <c r="F673" s="217" t="s">
        <v>674</v>
      </c>
      <c r="G673" s="217" t="str">
        <f t="shared" si="234"/>
        <v xml:space="preserve">Inv. Analysis - Credit Quality Risk - Mutual Funds Equities International    </v>
      </c>
      <c r="H673" s="218" t="e">
        <f t="shared" si="235"/>
        <v>#N/A</v>
      </c>
      <c r="I673" s="218" t="str">
        <f t="shared" si="235"/>
        <v>Jun</v>
      </c>
      <c r="J673" s="217" t="str">
        <f t="shared" si="235"/>
        <v>FY25</v>
      </c>
      <c r="K673" s="217" t="str">
        <f t="shared" si="235"/>
        <v>FCCS_Other Data</v>
      </c>
      <c r="L673" s="217" t="str">
        <f t="shared" si="235"/>
        <v>FCCS_No Intercompany</v>
      </c>
      <c r="M673" s="217" t="str">
        <f t="shared" si="236"/>
        <v>No Custom1</v>
      </c>
      <c r="N673" s="217" t="str">
        <f t="shared" si="235"/>
        <v>No Custom2</v>
      </c>
      <c r="O673" s="217" t="s">
        <v>596</v>
      </c>
      <c r="P673" s="217" t="s">
        <v>877</v>
      </c>
      <c r="Q673" s="217" t="str">
        <f t="shared" si="237"/>
        <v>FCCS_ClosingBalance_Input</v>
      </c>
      <c r="R673" s="217" t="str">
        <f t="shared" si="238"/>
        <v>Actual</v>
      </c>
      <c r="S673" s="217" t="str">
        <f t="shared" si="238"/>
        <v>FCCS_YTD_Input</v>
      </c>
      <c r="T673" s="217" t="s">
        <v>850</v>
      </c>
    </row>
    <row r="674" spans="2:20" x14ac:dyDescent="0.3">
      <c r="B674" s="214" t="s">
        <v>667</v>
      </c>
      <c r="C674" s="214" t="s">
        <v>884</v>
      </c>
      <c r="D674" s="216" t="str">
        <f>[2]!HsSetValue(E674,"FCC","Scenario#"&amp;R674&amp;";Years#"&amp;J674&amp;";Period#"&amp;I674&amp;";View#"&amp;S674&amp;";Entity#"&amp;H674&amp;";Data Source#"&amp;K674&amp;";Account#"&amp;F674&amp;";Intercompany#"&amp;L674&amp;";Movement#"&amp;Q674&amp;";Consolidation#"&amp;T674&amp;";Custom1#"&amp;M674&amp;";Custom2#"&amp;N674&amp;";Custom3#"&amp;O674&amp;";Custom4#"&amp;P674&amp;"")</f>
        <v>#Invalid Syntax</v>
      </c>
      <c r="E674" s="216">
        <f>SUMIFS('Investment Analysis'!$H$22:$H$69,'Investment Analysis'!$E$22:$E$69,"Mutual Funds Equities International",'Investment Analysis'!$AB$22:$AB$69,"8")</f>
        <v>0</v>
      </c>
      <c r="F674" s="217" t="s">
        <v>674</v>
      </c>
      <c r="G674" s="217" t="str">
        <f t="shared" si="234"/>
        <v xml:space="preserve">Inv. Analysis - Credit Quality Risk - Mutual Funds Equities International    </v>
      </c>
      <c r="H674" s="218" t="e">
        <f t="shared" si="235"/>
        <v>#N/A</v>
      </c>
      <c r="I674" s="218" t="str">
        <f t="shared" si="235"/>
        <v>Jun</v>
      </c>
      <c r="J674" s="217" t="str">
        <f t="shared" si="235"/>
        <v>FY25</v>
      </c>
      <c r="K674" s="217" t="str">
        <f t="shared" si="235"/>
        <v>FCCS_Other Data</v>
      </c>
      <c r="L674" s="217" t="str">
        <f t="shared" si="235"/>
        <v>FCCS_No Intercompany</v>
      </c>
      <c r="M674" s="217" t="str">
        <f t="shared" si="236"/>
        <v>No Custom1</v>
      </c>
      <c r="N674" s="217" t="str">
        <f t="shared" si="235"/>
        <v>No Custom2</v>
      </c>
      <c r="O674" s="217" t="s">
        <v>61</v>
      </c>
      <c r="P674" s="217" t="s">
        <v>877</v>
      </c>
      <c r="Q674" s="217" t="str">
        <f t="shared" si="237"/>
        <v>FCCS_ClosingBalance_Input</v>
      </c>
      <c r="R674" s="217" t="str">
        <f t="shared" si="238"/>
        <v>Actual</v>
      </c>
      <c r="S674" s="217" t="str">
        <f t="shared" si="238"/>
        <v>FCCS_YTD_Input</v>
      </c>
      <c r="T674" s="217" t="s">
        <v>850</v>
      </c>
    </row>
    <row r="675" spans="2:20" x14ac:dyDescent="0.3">
      <c r="B675" s="214" t="s">
        <v>667</v>
      </c>
      <c r="C675" s="214" t="s">
        <v>884</v>
      </c>
      <c r="D675" s="216" t="str">
        <f>[2]!HsSetValue(E675,"FCC","Scenario#"&amp;R675&amp;";Years#"&amp;J675&amp;";Period#"&amp;I675&amp;";View#"&amp;S675&amp;";Entity#"&amp;H675&amp;";Data Source#"&amp;K675&amp;";Account#"&amp;F675&amp;";Intercompany#"&amp;L675&amp;";Movement#"&amp;Q675&amp;";Consolidation#"&amp;T675&amp;";Custom1#"&amp;M675&amp;";Custom2#"&amp;N675&amp;";Custom3#"&amp;O675&amp;";Custom4#"&amp;P675&amp;"")</f>
        <v>#Invalid Syntax</v>
      </c>
      <c r="E675" s="216">
        <f>SUMIFS('Investment Analysis'!$H$22:$H$69,'Investment Analysis'!$E$22:$E$69,"Mutual Funds Equities International",'Investment Analysis'!$AB$22:$AB$69,"7")</f>
        <v>0</v>
      </c>
      <c r="F675" s="217" t="s">
        <v>674</v>
      </c>
      <c r="G675" s="217" t="str">
        <f t="shared" si="234"/>
        <v xml:space="preserve">Inv. Analysis - Credit Quality Risk - Mutual Funds Equities International    </v>
      </c>
      <c r="H675" s="218" t="e">
        <f t="shared" si="235"/>
        <v>#N/A</v>
      </c>
      <c r="I675" s="218" t="str">
        <f t="shared" si="235"/>
        <v>Jun</v>
      </c>
      <c r="J675" s="217" t="str">
        <f t="shared" si="235"/>
        <v>FY25</v>
      </c>
      <c r="K675" s="217" t="str">
        <f t="shared" si="235"/>
        <v>FCCS_Other Data</v>
      </c>
      <c r="L675" s="217" t="str">
        <f t="shared" si="235"/>
        <v>FCCS_No Intercompany</v>
      </c>
      <c r="M675" s="217" t="str">
        <f t="shared" si="236"/>
        <v>No Custom1</v>
      </c>
      <c r="N675" s="217" t="str">
        <f t="shared" si="235"/>
        <v>No Custom2</v>
      </c>
      <c r="O675" s="217" t="s">
        <v>62</v>
      </c>
      <c r="P675" s="217" t="s">
        <v>877</v>
      </c>
      <c r="Q675" s="217" t="str">
        <f t="shared" si="237"/>
        <v>FCCS_ClosingBalance_Input</v>
      </c>
      <c r="R675" s="217" t="str">
        <f t="shared" si="238"/>
        <v>Actual</v>
      </c>
      <c r="S675" s="217" t="str">
        <f t="shared" si="238"/>
        <v>FCCS_YTD_Input</v>
      </c>
      <c r="T675" s="217" t="s">
        <v>850</v>
      </c>
    </row>
    <row r="676" spans="2:20" x14ac:dyDescent="0.3">
      <c r="B676" s="214" t="s">
        <v>667</v>
      </c>
      <c r="C676" s="214" t="s">
        <v>884</v>
      </c>
      <c r="D676" s="216" t="str">
        <f>[2]!HsSetValue(E676,"FCC","Scenario#"&amp;R676&amp;";Years#"&amp;J676&amp;";Period#"&amp;I676&amp;";View#"&amp;S676&amp;";Entity#"&amp;H676&amp;";Data Source#"&amp;K676&amp;";Account#"&amp;F676&amp;";Intercompany#"&amp;L676&amp;";Movement#"&amp;Q676&amp;";Consolidation#"&amp;T676&amp;";Custom1#"&amp;M676&amp;";Custom2#"&amp;N676&amp;";Custom3#"&amp;O676&amp;";Custom4#"&amp;P676&amp;"")</f>
        <v>#Invalid Syntax</v>
      </c>
      <c r="E676" s="216">
        <f>SUMIFS('Investment Analysis'!$H$22:$H$69,'Investment Analysis'!$E$22:$E$69,"Mutual Funds Equities International",'Investment Analysis'!$AB$22:$AB$69,"6")</f>
        <v>0</v>
      </c>
      <c r="F676" s="217" t="s">
        <v>674</v>
      </c>
      <c r="G676" s="217" t="str">
        <f t="shared" si="234"/>
        <v xml:space="preserve">Inv. Analysis - Credit Quality Risk - Mutual Funds Equities International    </v>
      </c>
      <c r="H676" s="218" t="e">
        <f t="shared" si="235"/>
        <v>#N/A</v>
      </c>
      <c r="I676" s="218" t="str">
        <f t="shared" si="235"/>
        <v>Jun</v>
      </c>
      <c r="J676" s="217" t="str">
        <f t="shared" si="235"/>
        <v>FY25</v>
      </c>
      <c r="K676" s="217" t="str">
        <f t="shared" si="235"/>
        <v>FCCS_Other Data</v>
      </c>
      <c r="L676" s="217" t="str">
        <f t="shared" si="235"/>
        <v>FCCS_No Intercompany</v>
      </c>
      <c r="M676" s="217" t="str">
        <f t="shared" si="236"/>
        <v>No Custom1</v>
      </c>
      <c r="N676" s="217" t="str">
        <f t="shared" si="235"/>
        <v>No Custom2</v>
      </c>
      <c r="O676" s="217" t="s">
        <v>436</v>
      </c>
      <c r="P676" s="217" t="s">
        <v>877</v>
      </c>
      <c r="Q676" s="217" t="str">
        <f t="shared" si="237"/>
        <v>FCCS_ClosingBalance_Input</v>
      </c>
      <c r="R676" s="217" t="str">
        <f t="shared" si="238"/>
        <v>Actual</v>
      </c>
      <c r="S676" s="217" t="str">
        <f t="shared" si="238"/>
        <v>FCCS_YTD_Input</v>
      </c>
      <c r="T676" s="217" t="s">
        <v>850</v>
      </c>
    </row>
    <row r="677" spans="2:20" s="371" customFormat="1" x14ac:dyDescent="0.3">
      <c r="B677" s="214" t="s">
        <v>667</v>
      </c>
      <c r="C677" s="214" t="s">
        <v>884</v>
      </c>
      <c r="D677" s="216" t="str">
        <f>[2]!HsSetValue(E677,"FCC","Scenario#"&amp;R677&amp;";Years#"&amp;J677&amp;";Period#"&amp;I677&amp;";View#"&amp;S677&amp;";Entity#"&amp;H677&amp;";Data Source#"&amp;K677&amp;";Account#"&amp;F677&amp;";Intercompany#"&amp;L677&amp;";Movement#"&amp;Q677&amp;";Consolidation#"&amp;T677&amp;";Custom1#"&amp;M677&amp;";Custom2#"&amp;N677&amp;";Custom3#"&amp;O677&amp;";Custom4#"&amp;P677&amp;"")</f>
        <v>#Invalid Syntax</v>
      </c>
      <c r="E677" s="216">
        <f>SUMIFS('Investment Analysis'!$H$22:$H$69,'Investment Analysis'!$E$22:$E$69,"Mutual Funds Equities International",'Investment Analysis'!$AB$22:$AB$69,"5")</f>
        <v>0</v>
      </c>
      <c r="F677" s="217" t="s">
        <v>674</v>
      </c>
      <c r="G677" s="217" t="str">
        <f t="shared" si="234"/>
        <v xml:space="preserve">Inv. Analysis - Credit Quality Risk - Mutual Funds Equities International    </v>
      </c>
      <c r="H677" s="218" t="e">
        <f t="shared" si="235"/>
        <v>#N/A</v>
      </c>
      <c r="I677" s="218" t="str">
        <f t="shared" si="235"/>
        <v>Jun</v>
      </c>
      <c r="J677" s="217" t="str">
        <f t="shared" si="235"/>
        <v>FY25</v>
      </c>
      <c r="K677" s="217" t="str">
        <f t="shared" si="235"/>
        <v>FCCS_Other Data</v>
      </c>
      <c r="L677" s="217" t="str">
        <f t="shared" si="235"/>
        <v>FCCS_No Intercompany</v>
      </c>
      <c r="M677" s="217" t="str">
        <f t="shared" si="236"/>
        <v>No Custom1</v>
      </c>
      <c r="N677" s="217" t="str">
        <f t="shared" si="235"/>
        <v>No Custom2</v>
      </c>
      <c r="O677" s="217" t="s">
        <v>434</v>
      </c>
      <c r="P677" s="217" t="s">
        <v>877</v>
      </c>
      <c r="Q677" s="217" t="str">
        <f t="shared" si="237"/>
        <v>FCCS_ClosingBalance_Input</v>
      </c>
      <c r="R677" s="217" t="str">
        <f t="shared" si="238"/>
        <v>Actual</v>
      </c>
      <c r="S677" s="217" t="str">
        <f t="shared" si="238"/>
        <v>FCCS_YTD_Input</v>
      </c>
      <c r="T677" s="217" t="s">
        <v>850</v>
      </c>
    </row>
    <row r="678" spans="2:20" s="371" customFormat="1" x14ac:dyDescent="0.3">
      <c r="B678" s="214" t="s">
        <v>667</v>
      </c>
      <c r="C678" s="214" t="s">
        <v>884</v>
      </c>
      <c r="D678" s="216" t="str">
        <f>[2]!HsSetValue(E678,"FCC","Scenario#"&amp;R678&amp;";Years#"&amp;J678&amp;";Period#"&amp;I678&amp;";View#"&amp;S678&amp;";Entity#"&amp;H678&amp;";Data Source#"&amp;K678&amp;";Account#"&amp;F678&amp;";Intercompany#"&amp;L678&amp;";Movement#"&amp;Q678&amp;";Consolidation#"&amp;T678&amp;";Custom1#"&amp;M678&amp;";Custom2#"&amp;N678&amp;";Custom3#"&amp;O678&amp;";Custom4#"&amp;P678&amp;"")</f>
        <v>#Invalid Syntax</v>
      </c>
      <c r="E678" s="216">
        <f>SUMIFS('Investment Analysis'!$H$22:$H$69,'Investment Analysis'!$E$22:$E$69,"Mutual Funds Equities International",'Investment Analysis'!$AB$22:$AB$69,"4")</f>
        <v>0</v>
      </c>
      <c r="F678" s="217" t="s">
        <v>674</v>
      </c>
      <c r="G678" s="217" t="str">
        <f t="shared" si="234"/>
        <v xml:space="preserve">Inv. Analysis - Credit Quality Risk - Mutual Funds Equities International    </v>
      </c>
      <c r="H678" s="218" t="e">
        <f t="shared" si="235"/>
        <v>#N/A</v>
      </c>
      <c r="I678" s="218" t="str">
        <f t="shared" si="235"/>
        <v>Jun</v>
      </c>
      <c r="J678" s="217" t="str">
        <f t="shared" si="235"/>
        <v>FY25</v>
      </c>
      <c r="K678" s="217" t="str">
        <f t="shared" si="235"/>
        <v>FCCS_Other Data</v>
      </c>
      <c r="L678" s="217" t="str">
        <f t="shared" si="235"/>
        <v>FCCS_No Intercompany</v>
      </c>
      <c r="M678" s="217" t="str">
        <f t="shared" si="236"/>
        <v>No Custom1</v>
      </c>
      <c r="N678" s="217" t="str">
        <f t="shared" si="235"/>
        <v>No Custom2</v>
      </c>
      <c r="O678" s="217" t="s">
        <v>63</v>
      </c>
      <c r="P678" s="217" t="s">
        <v>877</v>
      </c>
      <c r="Q678" s="217" t="str">
        <f t="shared" si="237"/>
        <v>FCCS_ClosingBalance_Input</v>
      </c>
      <c r="R678" s="217" t="str">
        <f t="shared" si="238"/>
        <v>Actual</v>
      </c>
      <c r="S678" s="217" t="str">
        <f t="shared" si="238"/>
        <v>FCCS_YTD_Input</v>
      </c>
      <c r="T678" s="217" t="s">
        <v>850</v>
      </c>
    </row>
    <row r="679" spans="2:20" s="371" customFormat="1" x14ac:dyDescent="0.3">
      <c r="B679" s="214" t="s">
        <v>667</v>
      </c>
      <c r="C679" s="214" t="s">
        <v>884</v>
      </c>
      <c r="D679" s="216" t="str">
        <f>[2]!HsSetValue(E679,"FCC","Scenario#"&amp;R679&amp;";Years#"&amp;J679&amp;";Period#"&amp;I679&amp;";View#"&amp;S679&amp;";Entity#"&amp;H679&amp;";Data Source#"&amp;K679&amp;";Account#"&amp;F679&amp;";Intercompany#"&amp;L679&amp;";Movement#"&amp;Q679&amp;";Consolidation#"&amp;T679&amp;";Custom1#"&amp;M679&amp;";Custom2#"&amp;N679&amp;";Custom3#"&amp;O679&amp;";Custom4#"&amp;P679&amp;"")</f>
        <v>#Invalid Syntax</v>
      </c>
      <c r="E679" s="216">
        <f>SUMIFS('Investment Analysis'!$H$22:$H$69,'Investment Analysis'!$E$22:$E$69,"Mutual Funds Equities International",'Investment Analysis'!$AB$22:$AB$69,"3")</f>
        <v>0</v>
      </c>
      <c r="F679" s="217" t="s">
        <v>674</v>
      </c>
      <c r="G679" s="217" t="str">
        <f t="shared" si="234"/>
        <v xml:space="preserve">Inv. Analysis - Credit Quality Risk - Mutual Funds Equities International    </v>
      </c>
      <c r="H679" s="218" t="e">
        <f t="shared" si="235"/>
        <v>#N/A</v>
      </c>
      <c r="I679" s="218" t="str">
        <f t="shared" si="235"/>
        <v>Jun</v>
      </c>
      <c r="J679" s="217" t="str">
        <f t="shared" si="235"/>
        <v>FY25</v>
      </c>
      <c r="K679" s="217" t="str">
        <f t="shared" si="235"/>
        <v>FCCS_Other Data</v>
      </c>
      <c r="L679" s="217" t="str">
        <f t="shared" si="235"/>
        <v>FCCS_No Intercompany</v>
      </c>
      <c r="M679" s="217" t="str">
        <f t="shared" si="236"/>
        <v>No Custom1</v>
      </c>
      <c r="N679" s="217" t="str">
        <f t="shared" si="235"/>
        <v>No Custom2</v>
      </c>
      <c r="O679" s="217" t="s">
        <v>622</v>
      </c>
      <c r="P679" s="217" t="s">
        <v>877</v>
      </c>
      <c r="Q679" s="217" t="str">
        <f t="shared" si="237"/>
        <v>FCCS_ClosingBalance_Input</v>
      </c>
      <c r="R679" s="217" t="str">
        <f t="shared" si="238"/>
        <v>Actual</v>
      </c>
      <c r="S679" s="217" t="str">
        <f t="shared" si="238"/>
        <v>FCCS_YTD_Input</v>
      </c>
      <c r="T679" s="217" t="s">
        <v>850</v>
      </c>
    </row>
    <row r="680" spans="2:20" s="371" customFormat="1" x14ac:dyDescent="0.3">
      <c r="B680" s="214" t="s">
        <v>667</v>
      </c>
      <c r="C680" s="214" t="s">
        <v>884</v>
      </c>
      <c r="D680" s="216" t="str">
        <f>[2]!HsSetValue(E680,"FCC","Scenario#"&amp;R680&amp;";Years#"&amp;J680&amp;";Period#"&amp;I680&amp;";View#"&amp;S680&amp;";Entity#"&amp;H680&amp;";Data Source#"&amp;K680&amp;";Account#"&amp;F680&amp;";Intercompany#"&amp;L680&amp;";Movement#"&amp;Q680&amp;";Consolidation#"&amp;T680&amp;";Custom1#"&amp;M680&amp;";Custom2#"&amp;N680&amp;";Custom3#"&amp;O680&amp;";Custom4#"&amp;P680&amp;"")</f>
        <v>#Invalid Syntax</v>
      </c>
      <c r="E680" s="216">
        <f>SUMIFS('Investment Analysis'!$H$22:$H$69,'Investment Analysis'!$E$22:$E$69,"Mutual Funds Equities International",'Investment Analysis'!$AB$22:$AB$69,"2")</f>
        <v>0</v>
      </c>
      <c r="F680" s="217" t="s">
        <v>674</v>
      </c>
      <c r="G680" s="217" t="str">
        <f t="shared" si="234"/>
        <v xml:space="preserve">Inv. Analysis - Credit Quality Risk - Mutual Funds Equities International    </v>
      </c>
      <c r="H680" s="218" t="e">
        <f t="shared" si="235"/>
        <v>#N/A</v>
      </c>
      <c r="I680" s="218" t="str">
        <f t="shared" si="235"/>
        <v>Jun</v>
      </c>
      <c r="J680" s="217" t="str">
        <f t="shared" si="235"/>
        <v>FY25</v>
      </c>
      <c r="K680" s="217" t="str">
        <f t="shared" si="235"/>
        <v>FCCS_Other Data</v>
      </c>
      <c r="L680" s="217" t="str">
        <f t="shared" si="235"/>
        <v>FCCS_No Intercompany</v>
      </c>
      <c r="M680" s="217" t="str">
        <f t="shared" si="236"/>
        <v>No Custom1</v>
      </c>
      <c r="N680" s="217" t="str">
        <f t="shared" si="235"/>
        <v>No Custom2</v>
      </c>
      <c r="O680" s="217" t="s">
        <v>618</v>
      </c>
      <c r="P680" s="217" t="s">
        <v>877</v>
      </c>
      <c r="Q680" s="217" t="str">
        <f t="shared" si="237"/>
        <v>FCCS_ClosingBalance_Input</v>
      </c>
      <c r="R680" s="217" t="str">
        <f t="shared" si="238"/>
        <v>Actual</v>
      </c>
      <c r="S680" s="217" t="str">
        <f t="shared" si="238"/>
        <v>FCCS_YTD_Input</v>
      </c>
      <c r="T680" s="217" t="s">
        <v>850</v>
      </c>
    </row>
    <row r="681" spans="2:20" s="371" customFormat="1" x14ac:dyDescent="0.3">
      <c r="B681" s="214" t="s">
        <v>667</v>
      </c>
      <c r="C681" s="214" t="s">
        <v>884</v>
      </c>
      <c r="D681" s="216" t="str">
        <f>[2]!HsSetValue(E681,"FCC","Scenario#"&amp;R681&amp;";Years#"&amp;J681&amp;";Period#"&amp;I681&amp;";View#"&amp;S681&amp;";Entity#"&amp;H681&amp;";Data Source#"&amp;K681&amp;";Account#"&amp;F681&amp;";Intercompany#"&amp;L681&amp;";Movement#"&amp;Q681&amp;";Consolidation#"&amp;T681&amp;";Custom1#"&amp;M681&amp;";Custom2#"&amp;N681&amp;";Custom3#"&amp;O681&amp;";Custom4#"&amp;P681&amp;"")</f>
        <v>#Invalid Syntax</v>
      </c>
      <c r="E681" s="216">
        <f>SUMIFS('Investment Analysis'!$H$22:$H$69,'Investment Analysis'!$E$22:$E$69,"Mutual Funds Equities International",'Investment Analysis'!$AB$22:$AB$69,"1")</f>
        <v>0</v>
      </c>
      <c r="F681" s="217" t="s">
        <v>674</v>
      </c>
      <c r="G681" s="217" t="str">
        <f t="shared" si="234"/>
        <v xml:space="preserve">Inv. Analysis - Credit Quality Risk - Mutual Funds Equities International    </v>
      </c>
      <c r="H681" s="218" t="e">
        <f t="shared" si="235"/>
        <v>#N/A</v>
      </c>
      <c r="I681" s="218" t="str">
        <f t="shared" si="235"/>
        <v>Jun</v>
      </c>
      <c r="J681" s="217" t="str">
        <f t="shared" si="235"/>
        <v>FY25</v>
      </c>
      <c r="K681" s="217" t="str">
        <f t="shared" si="235"/>
        <v>FCCS_Other Data</v>
      </c>
      <c r="L681" s="217" t="str">
        <f t="shared" si="235"/>
        <v>FCCS_No Intercompany</v>
      </c>
      <c r="M681" s="217" t="str">
        <f t="shared" si="236"/>
        <v>No Custom1</v>
      </c>
      <c r="N681" s="217" t="str">
        <f t="shared" si="235"/>
        <v>No Custom2</v>
      </c>
      <c r="O681" s="217" t="s">
        <v>64</v>
      </c>
      <c r="P681" s="217" t="s">
        <v>877</v>
      </c>
      <c r="Q681" s="217" t="str">
        <f t="shared" si="237"/>
        <v>FCCS_ClosingBalance_Input</v>
      </c>
      <c r="R681" s="217" t="str">
        <f t="shared" si="238"/>
        <v>Actual</v>
      </c>
      <c r="S681" s="217" t="str">
        <f t="shared" si="238"/>
        <v>FCCS_YTD_Input</v>
      </c>
      <c r="T681" s="217" t="s">
        <v>850</v>
      </c>
    </row>
    <row r="682" spans="2:20" x14ac:dyDescent="0.3">
      <c r="B682" s="214" t="s">
        <v>667</v>
      </c>
      <c r="C682" s="214" t="s">
        <v>884</v>
      </c>
      <c r="D682" s="216" t="str">
        <f>[2]!HsSetValue(E682,"FCC","Scenario#"&amp;R682&amp;";Years#"&amp;J682&amp;";Period#"&amp;I682&amp;";View#"&amp;S682&amp;";Entity#"&amp;H682&amp;";Data Source#"&amp;K682&amp;";Account#"&amp;F682&amp;";Intercompany#"&amp;L682&amp;";Movement#"&amp;Q682&amp;";Consolidation#"&amp;T682&amp;";Custom1#"&amp;M682&amp;";Custom2#"&amp;N682&amp;";Custom3#"&amp;O682&amp;";Custom4#"&amp;P682&amp;"")</f>
        <v>#Invalid Syntax</v>
      </c>
      <c r="E682" s="216">
        <f>SUMIFS('Investment Analysis'!$H$22:$H$69,'Investment Analysis'!$E$22:$E$69,"Mutual Funds Equities International",'Investment Analysis'!$AI$22:$AI$69,"16")</f>
        <v>0</v>
      </c>
      <c r="F682" s="217" t="s">
        <v>674</v>
      </c>
      <c r="G682" s="217" t="str">
        <f t="shared" si="234"/>
        <v xml:space="preserve">Inv. Analysis - Credit Quality Risk - Mutual Funds Equities International    </v>
      </c>
      <c r="H682" s="218" t="e">
        <f t="shared" si="235"/>
        <v>#N/A</v>
      </c>
      <c r="I682" s="218" t="str">
        <f t="shared" si="235"/>
        <v>Jun</v>
      </c>
      <c r="J682" s="217" t="str">
        <f t="shared" si="235"/>
        <v>FY25</v>
      </c>
      <c r="K682" s="217" t="str">
        <f t="shared" si="235"/>
        <v>FCCS_Other Data</v>
      </c>
      <c r="L682" s="217" t="str">
        <f t="shared" si="235"/>
        <v>FCCS_No Intercompany</v>
      </c>
      <c r="M682" s="217" t="str">
        <f t="shared" si="236"/>
        <v>No Custom1</v>
      </c>
      <c r="N682" s="217" t="str">
        <f t="shared" si="235"/>
        <v>No Custom2</v>
      </c>
      <c r="O682" s="217" t="s">
        <v>726</v>
      </c>
      <c r="P682" s="217" t="s">
        <v>877</v>
      </c>
      <c r="Q682" s="217" t="str">
        <f t="shared" si="237"/>
        <v>FCCS_ClosingBalance_Input</v>
      </c>
      <c r="R682" s="217" t="str">
        <f t="shared" si="238"/>
        <v>Actual</v>
      </c>
      <c r="S682" s="217" t="str">
        <f t="shared" si="238"/>
        <v>FCCS_YTD_Input</v>
      </c>
      <c r="T682" s="217" t="s">
        <v>850</v>
      </c>
    </row>
    <row r="683" spans="2:20" x14ac:dyDescent="0.3">
      <c r="B683" s="214" t="s">
        <v>667</v>
      </c>
      <c r="C683" s="214" t="s">
        <v>884</v>
      </c>
      <c r="D683" s="216" t="str">
        <f>[2]!HsSetValue(E683,"FCC","Scenario#"&amp;R683&amp;";Years#"&amp;J683&amp;";Period#"&amp;I683&amp;";View#"&amp;S683&amp;";Entity#"&amp;H683&amp;";Data Source#"&amp;K683&amp;";Account#"&amp;F683&amp;";Intercompany#"&amp;L683&amp;";Movement#"&amp;Q683&amp;";Consolidation#"&amp;T683&amp;";Custom1#"&amp;M683&amp;";Custom2#"&amp;N683&amp;";Custom3#"&amp;O683&amp;";Custom4#"&amp;P683&amp;"")</f>
        <v>#Invalid Syntax</v>
      </c>
      <c r="E683" s="216">
        <f>SUMIFS('Investment Analysis'!$H$22:$H$69,'Investment Analysis'!$E$22:$E$69,"Mutual Funds Equities International",'Investment Analysis'!$AI$22:$AI$69,"15")</f>
        <v>0</v>
      </c>
      <c r="F683" s="217" t="s">
        <v>674</v>
      </c>
      <c r="G683" s="217" t="str">
        <f t="shared" si="234"/>
        <v xml:space="preserve">Inv. Analysis - Credit Quality Risk - Mutual Funds Equities International    </v>
      </c>
      <c r="H683" s="218" t="e">
        <f t="shared" si="235"/>
        <v>#N/A</v>
      </c>
      <c r="I683" s="218" t="str">
        <f t="shared" si="235"/>
        <v>Jun</v>
      </c>
      <c r="J683" s="217" t="str">
        <f t="shared" si="235"/>
        <v>FY25</v>
      </c>
      <c r="K683" s="217" t="str">
        <f t="shared" si="235"/>
        <v>FCCS_Other Data</v>
      </c>
      <c r="L683" s="217" t="str">
        <f t="shared" si="235"/>
        <v>FCCS_No Intercompany</v>
      </c>
      <c r="M683" s="217" t="str">
        <f t="shared" si="236"/>
        <v>No Custom1</v>
      </c>
      <c r="N683" s="217" t="str">
        <f t="shared" si="235"/>
        <v>No Custom2</v>
      </c>
      <c r="O683" s="217" t="s">
        <v>727</v>
      </c>
      <c r="P683" s="217" t="s">
        <v>877</v>
      </c>
      <c r="Q683" s="217" t="str">
        <f t="shared" si="237"/>
        <v>FCCS_ClosingBalance_Input</v>
      </c>
      <c r="R683" s="217" t="str">
        <f t="shared" si="238"/>
        <v>Actual</v>
      </c>
      <c r="S683" s="217" t="str">
        <f t="shared" si="238"/>
        <v>FCCS_YTD_Input</v>
      </c>
      <c r="T683" s="217" t="s">
        <v>850</v>
      </c>
    </row>
    <row r="684" spans="2:20" x14ac:dyDescent="0.3">
      <c r="B684" s="214" t="s">
        <v>667</v>
      </c>
      <c r="C684" s="214" t="s">
        <v>884</v>
      </c>
      <c r="D684" s="216" t="str">
        <f>[2]!HsSetValue(E684,"FCC","Scenario#"&amp;R684&amp;";Years#"&amp;J684&amp;";Period#"&amp;I684&amp;";View#"&amp;S684&amp;";Entity#"&amp;H684&amp;";Data Source#"&amp;K684&amp;";Account#"&amp;F684&amp;";Intercompany#"&amp;L684&amp;";Movement#"&amp;Q684&amp;";Consolidation#"&amp;T684&amp;";Custom1#"&amp;M684&amp;";Custom2#"&amp;N684&amp;";Custom3#"&amp;O684&amp;";Custom4#"&amp;P684&amp;"")</f>
        <v>#Invalid Syntax</v>
      </c>
      <c r="E684" s="216">
        <f>SUMIFS('Investment Analysis'!$H$22:$H$69,'Investment Analysis'!$E$22:$E$69,"Mutual Funds Equities International",'Investment Analysis'!$AI$22:$AI$69,"14")</f>
        <v>0</v>
      </c>
      <c r="F684" s="217" t="s">
        <v>674</v>
      </c>
      <c r="G684" s="217" t="str">
        <f t="shared" si="234"/>
        <v xml:space="preserve">Inv. Analysis - Credit Quality Risk - Mutual Funds Equities International    </v>
      </c>
      <c r="H684" s="218" t="e">
        <f t="shared" si="235"/>
        <v>#N/A</v>
      </c>
      <c r="I684" s="218" t="str">
        <f t="shared" si="235"/>
        <v>Jun</v>
      </c>
      <c r="J684" s="217" t="str">
        <f t="shared" si="235"/>
        <v>FY25</v>
      </c>
      <c r="K684" s="217" t="str">
        <f t="shared" si="235"/>
        <v>FCCS_Other Data</v>
      </c>
      <c r="L684" s="217" t="str">
        <f t="shared" si="235"/>
        <v>FCCS_No Intercompany</v>
      </c>
      <c r="M684" s="217" t="str">
        <f t="shared" si="236"/>
        <v>No Custom1</v>
      </c>
      <c r="N684" s="217" t="str">
        <f t="shared" si="235"/>
        <v>No Custom2</v>
      </c>
      <c r="O684" s="217" t="s">
        <v>728</v>
      </c>
      <c r="P684" s="217" t="s">
        <v>877</v>
      </c>
      <c r="Q684" s="217" t="str">
        <f t="shared" si="237"/>
        <v>FCCS_ClosingBalance_Input</v>
      </c>
      <c r="R684" s="217" t="str">
        <f t="shared" si="238"/>
        <v>Actual</v>
      </c>
      <c r="S684" s="217" t="str">
        <f t="shared" si="238"/>
        <v>FCCS_YTD_Input</v>
      </c>
      <c r="T684" s="217" t="s">
        <v>850</v>
      </c>
    </row>
    <row r="685" spans="2:20" x14ac:dyDescent="0.3">
      <c r="B685" s="214" t="s">
        <v>667</v>
      </c>
      <c r="C685" s="214" t="s">
        <v>884</v>
      </c>
      <c r="D685" s="216" t="str">
        <f>[2]!HsSetValue(E685,"FCC","Scenario#"&amp;R685&amp;";Years#"&amp;J685&amp;";Period#"&amp;I685&amp;";View#"&amp;S685&amp;";Entity#"&amp;H685&amp;";Data Source#"&amp;K685&amp;";Account#"&amp;F685&amp;";Intercompany#"&amp;L685&amp;";Movement#"&amp;Q685&amp;";Consolidation#"&amp;T685&amp;";Custom1#"&amp;M685&amp;";Custom2#"&amp;N685&amp;";Custom3#"&amp;O685&amp;";Custom4#"&amp;P685&amp;"")</f>
        <v>#Invalid Syntax</v>
      </c>
      <c r="E685" s="216">
        <f>SUMIFS('Investment Analysis'!$H$22:$H$69,'Investment Analysis'!$E$22:$E$69,"Mutual Funds Equities International",'Investment Analysis'!$AB$22:$AB$69,"0")+SUMIFS('Investment Analysis'!$H$22:$H$69,'Investment Analysis'!$E$22:$E$69,"Mutual Funds Equities International",'Investment Analysis'!$AI$22:$AI$69,"0")</f>
        <v>0</v>
      </c>
      <c r="F685" s="217" t="s">
        <v>674</v>
      </c>
      <c r="G685" s="217" t="str">
        <f t="shared" si="234"/>
        <v xml:space="preserve">Inv. Analysis - Credit Quality Risk - Mutual Funds Equities International    </v>
      </c>
      <c r="H685" s="218" t="e">
        <f t="shared" si="235"/>
        <v>#N/A</v>
      </c>
      <c r="I685" s="218" t="str">
        <f t="shared" si="235"/>
        <v>Jun</v>
      </c>
      <c r="J685" s="217" t="str">
        <f t="shared" si="235"/>
        <v>FY25</v>
      </c>
      <c r="K685" s="217" t="str">
        <f t="shared" si="235"/>
        <v>FCCS_Other Data</v>
      </c>
      <c r="L685" s="217" t="str">
        <f t="shared" si="235"/>
        <v>FCCS_No Intercompany</v>
      </c>
      <c r="M685" s="217" t="str">
        <f t="shared" si="236"/>
        <v>No Custom1</v>
      </c>
      <c r="N685" s="217" t="str">
        <f t="shared" si="235"/>
        <v>No Custom2</v>
      </c>
      <c r="O685" s="217" t="s">
        <v>609</v>
      </c>
      <c r="P685" s="217" t="s">
        <v>877</v>
      </c>
      <c r="Q685" s="217" t="str">
        <f t="shared" si="237"/>
        <v>FCCS_ClosingBalance_Input</v>
      </c>
      <c r="R685" s="217" t="str">
        <f t="shared" si="238"/>
        <v>Actual</v>
      </c>
      <c r="S685" s="217" t="str">
        <f t="shared" si="238"/>
        <v>FCCS_YTD_Input</v>
      </c>
      <c r="T685" s="217" t="s">
        <v>850</v>
      </c>
    </row>
    <row r="686" spans="2:20" x14ac:dyDescent="0.3">
      <c r="B686" s="210"/>
      <c r="C686" s="210"/>
      <c r="D686" s="212"/>
      <c r="E686" s="212"/>
    </row>
    <row r="687" spans="2:20" x14ac:dyDescent="0.3">
      <c r="B687" s="219" t="s">
        <v>1014</v>
      </c>
      <c r="C687" s="219" t="s">
        <v>884</v>
      </c>
      <c r="D687" s="221" t="str">
        <f>[2]!HsSetValue(E687,"FCC","Scenario#"&amp;R687&amp;";Years#"&amp;J687&amp;";Period#"&amp;I687&amp;";View#"&amp;S687&amp;";Entity#"&amp;H687&amp;";Data Source#"&amp;K687&amp;";Account#"&amp;F687&amp;";Intercompany#"&amp;L687&amp;";Movement#"&amp;Q687&amp;";Consolidation#"&amp;T687&amp;";Custom1#"&amp;M687&amp;";Custom2#"&amp;N687&amp;";Custom3#"&amp;O687&amp;";Custom4#"&amp;P687&amp;"")</f>
        <v>#Invalid Syntax</v>
      </c>
      <c r="E687" s="221">
        <f>SUMIFS('Investment Analysis'!$H$22:$H$69,'Investment Analysis'!$E$22:$E$69,"Mutual Funds Equities International",'Investment Analysis'!$AK$22:$AK$69,"21")</f>
        <v>0</v>
      </c>
      <c r="F687" s="222" t="s">
        <v>675</v>
      </c>
      <c r="G687" s="222" t="str">
        <f>"Inv. Analysis -  FV Measurement - "&amp;C687</f>
        <v xml:space="preserve">Inv. Analysis -  FV Measurement - Mutual Funds Equities International    </v>
      </c>
      <c r="H687" s="223" t="e">
        <f>+H$2</f>
        <v>#N/A</v>
      </c>
      <c r="I687" s="223" t="str">
        <f t="shared" ref="I687:I691" si="239">+I$2</f>
        <v>Jun</v>
      </c>
      <c r="J687" s="222" t="str">
        <f>+J$2</f>
        <v>FY25</v>
      </c>
      <c r="K687" s="222" t="s">
        <v>843</v>
      </c>
      <c r="L687" s="222" t="s">
        <v>844</v>
      </c>
      <c r="M687" s="222" t="s">
        <v>845</v>
      </c>
      <c r="N687" s="222" t="s">
        <v>846</v>
      </c>
      <c r="O687" s="222" t="s">
        <v>729</v>
      </c>
      <c r="P687" s="222" t="s">
        <v>877</v>
      </c>
      <c r="Q687" s="222" t="str">
        <f t="shared" ref="Q687:Q691" si="240">Q$2</f>
        <v>FCCS_ClosingBalance_Input</v>
      </c>
      <c r="R687" s="222" t="s">
        <v>169</v>
      </c>
      <c r="S687" s="222" t="s">
        <v>848</v>
      </c>
      <c r="T687" s="222" t="s">
        <v>850</v>
      </c>
    </row>
    <row r="688" spans="2:20" x14ac:dyDescent="0.3">
      <c r="B688" s="219" t="s">
        <v>1014</v>
      </c>
      <c r="C688" s="219" t="s">
        <v>884</v>
      </c>
      <c r="D688" s="221" t="str">
        <f>[2]!HsSetValue(E688,"FCC","Scenario#"&amp;R688&amp;";Years#"&amp;J688&amp;";Period#"&amp;I688&amp;";View#"&amp;S688&amp;";Entity#"&amp;H688&amp;";Data Source#"&amp;K688&amp;";Account#"&amp;F688&amp;";Intercompany#"&amp;L688&amp;";Movement#"&amp;Q688&amp;";Consolidation#"&amp;T688&amp;";Custom1#"&amp;M688&amp;";Custom2#"&amp;N688&amp;";Custom3#"&amp;O688&amp;";Custom4#"&amp;P688&amp;"")</f>
        <v>#Invalid Syntax</v>
      </c>
      <c r="E688" s="221">
        <f>SUMIFS('Investment Analysis'!$H$22:$H$69,'Investment Analysis'!$E$22:$E$69,"Mutual Funds Equities International",'Investment Analysis'!$AK$22:$AK$69,"22")</f>
        <v>0</v>
      </c>
      <c r="F688" s="222" t="s">
        <v>675</v>
      </c>
      <c r="G688" s="222" t="str">
        <f>"Inv. Analysis -  FV Measurement - "&amp;C688</f>
        <v xml:space="preserve">Inv. Analysis -  FV Measurement - Mutual Funds Equities International    </v>
      </c>
      <c r="H688" s="223" t="e">
        <f>+H$2</f>
        <v>#N/A</v>
      </c>
      <c r="I688" s="223" t="str">
        <f t="shared" si="239"/>
        <v>Jun</v>
      </c>
      <c r="J688" s="222" t="str">
        <f>+J$2</f>
        <v>FY25</v>
      </c>
      <c r="K688" s="222" t="str">
        <f t="shared" ref="K688:N691" si="241">+K$2</f>
        <v>FCCS_Other Data</v>
      </c>
      <c r="L688" s="222" t="str">
        <f t="shared" si="241"/>
        <v>FCCS_No Intercompany</v>
      </c>
      <c r="M688" s="222" t="str">
        <f>+M$1</f>
        <v>No Custom1</v>
      </c>
      <c r="N688" s="222" t="str">
        <f t="shared" si="241"/>
        <v>No Custom2</v>
      </c>
      <c r="O688" s="222" t="s">
        <v>730</v>
      </c>
      <c r="P688" s="222" t="s">
        <v>877</v>
      </c>
      <c r="Q688" s="222" t="str">
        <f t="shared" si="240"/>
        <v>FCCS_ClosingBalance_Input</v>
      </c>
      <c r="R688" s="222" t="str">
        <f t="shared" ref="R688:S691" si="242">+R$2</f>
        <v>Actual</v>
      </c>
      <c r="S688" s="222" t="str">
        <f t="shared" si="242"/>
        <v>FCCS_YTD_Input</v>
      </c>
      <c r="T688" s="222" t="s">
        <v>850</v>
      </c>
    </row>
    <row r="689" spans="2:20" x14ac:dyDescent="0.3">
      <c r="B689" s="219" t="s">
        <v>1014</v>
      </c>
      <c r="C689" s="219" t="s">
        <v>884</v>
      </c>
      <c r="D689" s="221" t="str">
        <f>[2]!HsSetValue(E689,"FCC","Scenario#"&amp;R689&amp;";Years#"&amp;J689&amp;";Period#"&amp;I689&amp;";View#"&amp;S689&amp;";Entity#"&amp;H689&amp;";Data Source#"&amp;K689&amp;";Account#"&amp;F689&amp;";Intercompany#"&amp;L689&amp;";Movement#"&amp;Q689&amp;";Consolidation#"&amp;T689&amp;";Custom1#"&amp;M689&amp;";Custom2#"&amp;N689&amp;";Custom3#"&amp;O689&amp;";Custom4#"&amp;P689&amp;"")</f>
        <v>#Invalid Syntax</v>
      </c>
      <c r="E689" s="221">
        <f>SUMIFS('Investment Analysis'!$H$22:$H$69,'Investment Analysis'!$E$22:$E$69,"Mutual Funds Equities International",'Investment Analysis'!$AK$22:$AK$69,"23")</f>
        <v>0</v>
      </c>
      <c r="F689" s="222" t="s">
        <v>675</v>
      </c>
      <c r="G689" s="222" t="str">
        <f>"Inv. Analysis -  FV Measurement - "&amp;C689</f>
        <v xml:space="preserve">Inv. Analysis -  FV Measurement - Mutual Funds Equities International    </v>
      </c>
      <c r="H689" s="223" t="e">
        <f>+H$2</f>
        <v>#N/A</v>
      </c>
      <c r="I689" s="223" t="str">
        <f t="shared" si="239"/>
        <v>Jun</v>
      </c>
      <c r="J689" s="222" t="str">
        <f>+J$2</f>
        <v>FY25</v>
      </c>
      <c r="K689" s="222" t="str">
        <f t="shared" si="241"/>
        <v>FCCS_Other Data</v>
      </c>
      <c r="L689" s="222" t="str">
        <f t="shared" si="241"/>
        <v>FCCS_No Intercompany</v>
      </c>
      <c r="M689" s="222" t="str">
        <f>+M$1</f>
        <v>No Custom1</v>
      </c>
      <c r="N689" s="222" t="str">
        <f t="shared" si="241"/>
        <v>No Custom2</v>
      </c>
      <c r="O689" s="222" t="s">
        <v>731</v>
      </c>
      <c r="P689" s="222" t="s">
        <v>877</v>
      </c>
      <c r="Q689" s="222" t="str">
        <f t="shared" si="240"/>
        <v>FCCS_ClosingBalance_Input</v>
      </c>
      <c r="R689" s="222" t="str">
        <f t="shared" si="242"/>
        <v>Actual</v>
      </c>
      <c r="S689" s="222" t="str">
        <f t="shared" si="242"/>
        <v>FCCS_YTD_Input</v>
      </c>
      <c r="T689" s="222" t="s">
        <v>850</v>
      </c>
    </row>
    <row r="690" spans="2:20" x14ac:dyDescent="0.3">
      <c r="B690" s="219" t="s">
        <v>1014</v>
      </c>
      <c r="C690" s="219" t="s">
        <v>884</v>
      </c>
      <c r="D690" s="221" t="str">
        <f>[2]!HsSetValue(E690,"FCC","Scenario#"&amp;R690&amp;";Years#"&amp;J690&amp;";Period#"&amp;I690&amp;";View#"&amp;S690&amp;";Entity#"&amp;H690&amp;";Data Source#"&amp;K690&amp;";Account#"&amp;F690&amp;";Intercompany#"&amp;L690&amp;";Movement#"&amp;Q690&amp;";Consolidation#"&amp;T690&amp;";Custom1#"&amp;M690&amp;";Custom2#"&amp;N690&amp;";Custom3#"&amp;O690&amp;";Custom4#"&amp;P690&amp;"")</f>
        <v>#Invalid Syntax</v>
      </c>
      <c r="E690" s="221">
        <f>SUMIFS('Investment Analysis'!$H$22:$H$69,'Investment Analysis'!$E$22:$E$69,"Mutual Funds Equities International",'Investment Analysis'!$AK$22:$AK$69,"24")</f>
        <v>0</v>
      </c>
      <c r="F690" s="222" t="s">
        <v>675</v>
      </c>
      <c r="G690" s="222" t="str">
        <f>"Inv. Analysis -  FV Measurement - "&amp;C690</f>
        <v xml:space="preserve">Inv. Analysis -  FV Measurement - Mutual Funds Equities International    </v>
      </c>
      <c r="H690" s="223" t="e">
        <f>+H$2</f>
        <v>#N/A</v>
      </c>
      <c r="I690" s="223" t="str">
        <f t="shared" si="239"/>
        <v>Jun</v>
      </c>
      <c r="J690" s="222" t="str">
        <f>+J$2</f>
        <v>FY25</v>
      </c>
      <c r="K690" s="222" t="str">
        <f t="shared" si="241"/>
        <v>FCCS_Other Data</v>
      </c>
      <c r="L690" s="222" t="str">
        <f t="shared" si="241"/>
        <v>FCCS_No Intercompany</v>
      </c>
      <c r="M690" s="222" t="str">
        <f>+M$1</f>
        <v>No Custom1</v>
      </c>
      <c r="N690" s="222" t="str">
        <f t="shared" si="241"/>
        <v>No Custom2</v>
      </c>
      <c r="O690" s="222" t="s">
        <v>732</v>
      </c>
      <c r="P690" s="222" t="s">
        <v>877</v>
      </c>
      <c r="Q690" s="222" t="str">
        <f t="shared" si="240"/>
        <v>FCCS_ClosingBalance_Input</v>
      </c>
      <c r="R690" s="222" t="str">
        <f t="shared" si="242"/>
        <v>Actual</v>
      </c>
      <c r="S690" s="222" t="str">
        <f t="shared" si="242"/>
        <v>FCCS_YTD_Input</v>
      </c>
      <c r="T690" s="222" t="s">
        <v>850</v>
      </c>
    </row>
    <row r="691" spans="2:20" x14ac:dyDescent="0.3">
      <c r="B691" s="219" t="s">
        <v>1014</v>
      </c>
      <c r="C691" s="219" t="s">
        <v>884</v>
      </c>
      <c r="D691" s="221" t="str">
        <f>[2]!HsSetValue(E691,"FCC","Scenario#"&amp;R691&amp;";Years#"&amp;J691&amp;";Period#"&amp;I691&amp;";View#"&amp;S691&amp;";Entity#"&amp;H691&amp;";Data Source#"&amp;K691&amp;";Account#"&amp;F691&amp;";Intercompany#"&amp;L691&amp;";Movement#"&amp;Q691&amp;";Consolidation#"&amp;T691&amp;";Custom1#"&amp;M691&amp;";Custom2#"&amp;N691&amp;";Custom3#"&amp;O691&amp;";Custom4#"&amp;P691&amp;"")</f>
        <v>#Invalid Syntax</v>
      </c>
      <c r="E691" s="221">
        <f>SUMIFS('Investment Analysis'!$H$22:$H$69,'Investment Analysis'!$E$22:$E$69,"Mutual Funds Equities International",'Investment Analysis'!$AK$22:$AK$69,"25")</f>
        <v>0</v>
      </c>
      <c r="F691" s="222" t="s">
        <v>675</v>
      </c>
      <c r="G691" s="222" t="str">
        <f>"Inv. Analysis -  FV Measurement - "&amp;C691</f>
        <v xml:space="preserve">Inv. Analysis -  FV Measurement - Mutual Funds Equities International    </v>
      </c>
      <c r="H691" s="223" t="e">
        <f>+H$2</f>
        <v>#N/A</v>
      </c>
      <c r="I691" s="223" t="str">
        <f t="shared" si="239"/>
        <v>Jun</v>
      </c>
      <c r="J691" s="222" t="str">
        <f>+J$2</f>
        <v>FY25</v>
      </c>
      <c r="K691" s="222" t="str">
        <f t="shared" si="241"/>
        <v>FCCS_Other Data</v>
      </c>
      <c r="L691" s="222" t="str">
        <f t="shared" si="241"/>
        <v>FCCS_No Intercompany</v>
      </c>
      <c r="M691" s="222" t="str">
        <f>+M$1</f>
        <v>No Custom1</v>
      </c>
      <c r="N691" s="222" t="str">
        <f t="shared" si="241"/>
        <v>No Custom2</v>
      </c>
      <c r="O691" s="222" t="s">
        <v>733</v>
      </c>
      <c r="P691" s="222" t="s">
        <v>877</v>
      </c>
      <c r="Q691" s="222" t="str">
        <f t="shared" si="240"/>
        <v>FCCS_ClosingBalance_Input</v>
      </c>
      <c r="R691" s="222" t="str">
        <f t="shared" si="242"/>
        <v>Actual</v>
      </c>
      <c r="S691" s="222" t="str">
        <f t="shared" si="242"/>
        <v>FCCS_YTD_Input</v>
      </c>
      <c r="T691" s="222" t="s">
        <v>850</v>
      </c>
    </row>
    <row r="692" spans="2:20" x14ac:dyDescent="0.3">
      <c r="B692" s="210"/>
      <c r="C692" s="211"/>
      <c r="D692" s="212"/>
      <c r="E692" s="212"/>
    </row>
    <row r="693" spans="2:20" x14ac:dyDescent="0.3">
      <c r="B693" s="364" t="s">
        <v>668</v>
      </c>
      <c r="C693" s="365" t="s">
        <v>684</v>
      </c>
      <c r="D693" s="366" t="str">
        <f>[2]!HsSetValue(E693,"FCC","Scenario#"&amp;R693&amp;";Years#"&amp;J693&amp;";Period#"&amp;I693&amp;";View#"&amp;S693&amp;";Entity#"&amp;H693&amp;";Data Source#"&amp;K693&amp;";Account#"&amp;F693&amp;";Intercompany#"&amp;L693&amp;";Movement#"&amp;Q693&amp;";Consolidation#"&amp;T693&amp;";Custom1#"&amp;M693&amp;";Custom2#"&amp;N693&amp;";Custom3#"&amp;O693&amp;";Custom4#"&amp;P693&amp;"")</f>
        <v>#Invalid Syntax</v>
      </c>
      <c r="E693" s="366">
        <f>SUMIF('Investment Analysis'!$E$22:$E$69,'FCC Investments - Load Tab'!C693,'Investment Analysis'!$K$22:$K$69)</f>
        <v>0</v>
      </c>
      <c r="F693" s="367" t="s">
        <v>673</v>
      </c>
      <c r="G693" s="367" t="s">
        <v>707</v>
      </c>
      <c r="H693" s="368" t="e">
        <f t="shared" ref="H693:N697" si="243">+H$2</f>
        <v>#N/A</v>
      </c>
      <c r="I693" s="368" t="str">
        <f t="shared" si="243"/>
        <v>Jun</v>
      </c>
      <c r="J693" s="367" t="str">
        <f t="shared" si="243"/>
        <v>FY25</v>
      </c>
      <c r="K693" s="367" t="s">
        <v>843</v>
      </c>
      <c r="L693" s="367" t="s">
        <v>844</v>
      </c>
      <c r="M693" s="367" t="s">
        <v>845</v>
      </c>
      <c r="N693" s="367" t="s">
        <v>846</v>
      </c>
      <c r="O693" s="367" t="s">
        <v>721</v>
      </c>
      <c r="P693" s="367" t="s">
        <v>719</v>
      </c>
      <c r="Q693" s="367" t="str">
        <f t="shared" si="180"/>
        <v>FCCS_ClosingBalance_Input</v>
      </c>
      <c r="R693" s="367" t="s">
        <v>169</v>
      </c>
      <c r="S693" s="367" t="s">
        <v>848</v>
      </c>
      <c r="T693" s="367" t="s">
        <v>850</v>
      </c>
    </row>
    <row r="694" spans="2:20" x14ac:dyDescent="0.3">
      <c r="B694" s="364" t="s">
        <v>668</v>
      </c>
      <c r="C694" s="365" t="s">
        <v>684</v>
      </c>
      <c r="D694" s="366" t="str">
        <f>[2]!HsSetValue(E694,"FCC","Scenario#"&amp;R694&amp;";Years#"&amp;J694&amp;";Period#"&amp;I694&amp;";View#"&amp;S694&amp;";Entity#"&amp;H694&amp;";Data Source#"&amp;K694&amp;";Account#"&amp;F694&amp;";Intercompany#"&amp;L694&amp;";Movement#"&amp;Q694&amp;";Consolidation#"&amp;T694&amp;";Custom1#"&amp;M694&amp;";Custom2#"&amp;N694&amp;";Custom3#"&amp;O694&amp;";Custom4#"&amp;P694&amp;"")</f>
        <v>#Invalid Syntax</v>
      </c>
      <c r="E694" s="366">
        <f>SUMIF('Investment Analysis'!$E$22:$E$69,'FCC Investments - Load Tab'!C693,'Investment Analysis'!$L$22:$L$69)</f>
        <v>0</v>
      </c>
      <c r="F694" s="367" t="s">
        <v>673</v>
      </c>
      <c r="G694" s="367" t="s">
        <v>707</v>
      </c>
      <c r="H694" s="368" t="e">
        <f t="shared" si="243"/>
        <v>#N/A</v>
      </c>
      <c r="I694" s="368" t="str">
        <f t="shared" si="243"/>
        <v>Jun</v>
      </c>
      <c r="J694" s="367" t="str">
        <f t="shared" si="243"/>
        <v>FY25</v>
      </c>
      <c r="K694" s="367" t="str">
        <f t="shared" si="243"/>
        <v>FCCS_Other Data</v>
      </c>
      <c r="L694" s="367" t="str">
        <f t="shared" si="243"/>
        <v>FCCS_No Intercompany</v>
      </c>
      <c r="M694" s="367" t="str">
        <f>+M$1</f>
        <v>No Custom1</v>
      </c>
      <c r="N694" s="367" t="str">
        <f t="shared" si="243"/>
        <v>No Custom2</v>
      </c>
      <c r="O694" s="367" t="s">
        <v>722</v>
      </c>
      <c r="P694" s="367" t="s">
        <v>719</v>
      </c>
      <c r="Q694" s="367" t="str">
        <f t="shared" si="180"/>
        <v>FCCS_ClosingBalance_Input</v>
      </c>
      <c r="R694" s="367" t="s">
        <v>169</v>
      </c>
      <c r="S694" s="367" t="s">
        <v>848</v>
      </c>
      <c r="T694" s="367" t="s">
        <v>850</v>
      </c>
    </row>
    <row r="695" spans="2:20" x14ac:dyDescent="0.3">
      <c r="B695" s="364" t="s">
        <v>668</v>
      </c>
      <c r="C695" s="365" t="s">
        <v>684</v>
      </c>
      <c r="D695" s="366" t="str">
        <f>[2]!HsSetValue(E695,"FCC","Scenario#"&amp;R695&amp;";Years#"&amp;J695&amp;";Period#"&amp;I695&amp;";View#"&amp;S695&amp;";Entity#"&amp;H695&amp;";Data Source#"&amp;K695&amp;";Account#"&amp;F695&amp;";Intercompany#"&amp;L695&amp;";Movement#"&amp;Q695&amp;";Consolidation#"&amp;T695&amp;";Custom1#"&amp;M695&amp;";Custom2#"&amp;N695&amp;";Custom3#"&amp;O695&amp;";Custom4#"&amp;P695&amp;"")</f>
        <v>#Invalid Syntax</v>
      </c>
      <c r="E695" s="366">
        <f>SUMIF('Investment Analysis'!$E$22:$E$69,'FCC Investments - Load Tab'!C693,'Investment Analysis'!$M$22:$M$69)</f>
        <v>0</v>
      </c>
      <c r="F695" s="367" t="s">
        <v>673</v>
      </c>
      <c r="G695" s="367" t="s">
        <v>707</v>
      </c>
      <c r="H695" s="368" t="e">
        <f t="shared" si="243"/>
        <v>#N/A</v>
      </c>
      <c r="I695" s="368" t="str">
        <f t="shared" si="243"/>
        <v>Jun</v>
      </c>
      <c r="J695" s="367" t="str">
        <f t="shared" si="243"/>
        <v>FY25</v>
      </c>
      <c r="K695" s="367" t="str">
        <f t="shared" si="243"/>
        <v>FCCS_Other Data</v>
      </c>
      <c r="L695" s="367" t="str">
        <f t="shared" si="243"/>
        <v>FCCS_No Intercompany</v>
      </c>
      <c r="M695" s="367" t="str">
        <f>+M$1</f>
        <v>No Custom1</v>
      </c>
      <c r="N695" s="367" t="str">
        <f t="shared" si="243"/>
        <v>No Custom2</v>
      </c>
      <c r="O695" s="367" t="s">
        <v>723</v>
      </c>
      <c r="P695" s="367" t="s">
        <v>719</v>
      </c>
      <c r="Q695" s="367" t="str">
        <f t="shared" si="180"/>
        <v>FCCS_ClosingBalance_Input</v>
      </c>
      <c r="R695" s="367" t="s">
        <v>169</v>
      </c>
      <c r="S695" s="367" t="s">
        <v>848</v>
      </c>
      <c r="T695" s="367" t="s">
        <v>850</v>
      </c>
    </row>
    <row r="696" spans="2:20" x14ac:dyDescent="0.3">
      <c r="B696" s="364" t="s">
        <v>668</v>
      </c>
      <c r="C696" s="365" t="s">
        <v>684</v>
      </c>
      <c r="D696" s="366" t="str">
        <f>[2]!HsSetValue(E696,"FCC","Scenario#"&amp;R696&amp;";Years#"&amp;J696&amp;";Period#"&amp;I696&amp;";View#"&amp;S696&amp;";Entity#"&amp;H696&amp;";Data Source#"&amp;K696&amp;";Account#"&amp;F696&amp;";Intercompany#"&amp;L696&amp;";Movement#"&amp;Q696&amp;";Consolidation#"&amp;T696&amp;";Custom1#"&amp;M696&amp;";Custom2#"&amp;N696&amp;";Custom3#"&amp;O696&amp;";Custom4#"&amp;P696&amp;"")</f>
        <v>#Invalid Syntax</v>
      </c>
      <c r="E696" s="366">
        <f>SUMIF('Investment Analysis'!$E$22:$E$69,'FCC Investments - Load Tab'!C696,'Investment Analysis'!$N$22:$N$69)</f>
        <v>0</v>
      </c>
      <c r="F696" s="367" t="s">
        <v>673</v>
      </c>
      <c r="G696" s="367" t="s">
        <v>707</v>
      </c>
      <c r="H696" s="368" t="e">
        <f t="shared" si="243"/>
        <v>#N/A</v>
      </c>
      <c r="I696" s="368" t="str">
        <f t="shared" si="243"/>
        <v>Jun</v>
      </c>
      <c r="J696" s="367" t="str">
        <f t="shared" si="243"/>
        <v>FY25</v>
      </c>
      <c r="K696" s="367" t="str">
        <f t="shared" si="243"/>
        <v>FCCS_Other Data</v>
      </c>
      <c r="L696" s="367" t="str">
        <f t="shared" si="243"/>
        <v>FCCS_No Intercompany</v>
      </c>
      <c r="M696" s="367" t="str">
        <f>+M$1</f>
        <v>No Custom1</v>
      </c>
      <c r="N696" s="367" t="str">
        <f t="shared" si="243"/>
        <v>No Custom2</v>
      </c>
      <c r="O696" s="367" t="s">
        <v>724</v>
      </c>
      <c r="P696" s="367" t="s">
        <v>719</v>
      </c>
      <c r="Q696" s="367" t="str">
        <f t="shared" si="180"/>
        <v>FCCS_ClosingBalance_Input</v>
      </c>
      <c r="R696" s="367" t="s">
        <v>169</v>
      </c>
      <c r="S696" s="367" t="s">
        <v>848</v>
      </c>
      <c r="T696" s="367" t="s">
        <v>850</v>
      </c>
    </row>
    <row r="697" spans="2:20" x14ac:dyDescent="0.3">
      <c r="B697" s="364" t="s">
        <v>668</v>
      </c>
      <c r="C697" s="365" t="s">
        <v>684</v>
      </c>
      <c r="D697" s="366" t="str">
        <f>[2]!HsSetValue(E697,"FCC","Scenario#"&amp;R697&amp;";Years#"&amp;J697&amp;";Period#"&amp;I697&amp;";View#"&amp;S697&amp;";Entity#"&amp;H697&amp;";Data Source#"&amp;K697&amp;";Account#"&amp;F697&amp;";Intercompany#"&amp;L697&amp;";Movement#"&amp;Q697&amp;";Consolidation#"&amp;T697&amp;";Custom1#"&amp;M697&amp;";Custom2#"&amp;N697&amp;";Custom3#"&amp;O697&amp;";Custom4#"&amp;P697&amp;"")</f>
        <v>#Invalid Syntax</v>
      </c>
      <c r="E697" s="366">
        <f>SUMIF('Investment Analysis'!$E$2:$E$69,'FCC Investments - Load Tab'!C697,'Investment Analysis'!$O$2:$O$69)</f>
        <v>0</v>
      </c>
      <c r="F697" s="367" t="s">
        <v>673</v>
      </c>
      <c r="G697" s="367" t="s">
        <v>707</v>
      </c>
      <c r="H697" s="368" t="e">
        <f t="shared" si="243"/>
        <v>#N/A</v>
      </c>
      <c r="I697" s="368" t="str">
        <f t="shared" si="243"/>
        <v>Jun</v>
      </c>
      <c r="J697" s="367" t="str">
        <f t="shared" si="243"/>
        <v>FY25</v>
      </c>
      <c r="K697" s="367" t="str">
        <f t="shared" si="243"/>
        <v>FCCS_Other Data</v>
      </c>
      <c r="L697" s="367" t="str">
        <f t="shared" si="243"/>
        <v>FCCS_No Intercompany</v>
      </c>
      <c r="M697" s="367" t="str">
        <f>+M$1</f>
        <v>No Custom1</v>
      </c>
      <c r="N697" s="367" t="str">
        <f t="shared" si="243"/>
        <v>No Custom2</v>
      </c>
      <c r="O697" s="367" t="s">
        <v>725</v>
      </c>
      <c r="P697" s="367" t="s">
        <v>719</v>
      </c>
      <c r="Q697" s="367" t="str">
        <f t="shared" si="180"/>
        <v>FCCS_ClosingBalance_Input</v>
      </c>
      <c r="R697" s="367" t="s">
        <v>169</v>
      </c>
      <c r="S697" s="367" t="s">
        <v>848</v>
      </c>
      <c r="T697" s="367" t="s">
        <v>850</v>
      </c>
    </row>
    <row r="698" spans="2:20" x14ac:dyDescent="0.3">
      <c r="B698" s="210"/>
      <c r="C698" s="211"/>
      <c r="D698" s="212"/>
      <c r="E698" s="212"/>
    </row>
    <row r="699" spans="2:20" x14ac:dyDescent="0.3">
      <c r="B699" s="214" t="s">
        <v>667</v>
      </c>
      <c r="C699" s="215" t="s">
        <v>684</v>
      </c>
      <c r="D699" s="216" t="str">
        <f>[2]!HsSetValue(E699,"FCC","Scenario#"&amp;R699&amp;";Years#"&amp;J699&amp;";Period#"&amp;I699&amp;";View#"&amp;S699&amp;";Entity#"&amp;H699&amp;";Data Source#"&amp;K699&amp;";Account#"&amp;F699&amp;";Intercompany#"&amp;L699&amp;";Movement#"&amp;Q699&amp;";Consolidation#"&amp;T699&amp;";Custom1#"&amp;M699&amp;";Custom2#"&amp;N699&amp;";Custom3#"&amp;O699&amp;";Custom4#"&amp;P699&amp;"")</f>
        <v>#Invalid Syntax</v>
      </c>
      <c r="E699" s="216">
        <f>SUMIFS('Investment Analysis'!$H$22:$H$69,'Investment Analysis'!$E$22:$E$69,"Non-purpose Investments",'Investment Analysis'!$AB$22:$AB$69,"10")</f>
        <v>0</v>
      </c>
      <c r="F699" s="217" t="s">
        <v>674</v>
      </c>
      <c r="G699" s="217" t="s">
        <v>1064</v>
      </c>
      <c r="H699" s="218" t="e">
        <f t="shared" ref="H699:N712" si="244">+H$2</f>
        <v>#N/A</v>
      </c>
      <c r="I699" s="218" t="str">
        <f t="shared" si="244"/>
        <v>Jun</v>
      </c>
      <c r="J699" s="217" t="str">
        <f t="shared" si="244"/>
        <v>FY25</v>
      </c>
      <c r="K699" s="217" t="str">
        <f t="shared" si="244"/>
        <v>FCCS_Other Data</v>
      </c>
      <c r="L699" s="217" t="str">
        <f t="shared" si="244"/>
        <v>FCCS_No Intercompany</v>
      </c>
      <c r="M699" s="217" t="str">
        <f t="shared" ref="M699:M712" si="245">+M$1</f>
        <v>No Custom1</v>
      </c>
      <c r="N699" s="217" t="str">
        <f t="shared" si="244"/>
        <v>No Custom2</v>
      </c>
      <c r="O699" s="217" t="s">
        <v>433</v>
      </c>
      <c r="P699" s="217" t="s">
        <v>719</v>
      </c>
      <c r="Q699" s="217" t="str">
        <f t="shared" si="180"/>
        <v>FCCS_ClosingBalance_Input</v>
      </c>
      <c r="R699" s="217" t="s">
        <v>169</v>
      </c>
      <c r="S699" s="217" t="s">
        <v>848</v>
      </c>
      <c r="T699" s="217" t="s">
        <v>850</v>
      </c>
    </row>
    <row r="700" spans="2:20" x14ac:dyDescent="0.3">
      <c r="B700" s="214" t="s">
        <v>667</v>
      </c>
      <c r="C700" s="215" t="s">
        <v>684</v>
      </c>
      <c r="D700" s="216" t="str">
        <f>[2]!HsSetValue(E700,"FCC","Scenario#"&amp;R700&amp;";Years#"&amp;J700&amp;";Period#"&amp;I700&amp;";View#"&amp;S700&amp;";Entity#"&amp;H700&amp;";Data Source#"&amp;K700&amp;";Account#"&amp;F700&amp;";Intercompany#"&amp;L700&amp;";Movement#"&amp;Q700&amp;";Consolidation#"&amp;T700&amp;";Custom1#"&amp;M700&amp;";Custom2#"&amp;N700&amp;";Custom3#"&amp;O700&amp;";Custom4#"&amp;P700&amp;"")</f>
        <v>#Invalid Syntax</v>
      </c>
      <c r="E700" s="216">
        <f>SUMIFS('Investment Analysis'!$H$22:$H$69,'Investment Analysis'!$E$22:$E$69,"Non-purpose Investments",'Investment Analysis'!$AB$22:$AB$69,"9")</f>
        <v>0</v>
      </c>
      <c r="F700" s="217" t="s">
        <v>674</v>
      </c>
      <c r="G700" s="217" t="s">
        <v>1064</v>
      </c>
      <c r="H700" s="218" t="e">
        <f t="shared" si="244"/>
        <v>#N/A</v>
      </c>
      <c r="I700" s="218" t="str">
        <f t="shared" si="244"/>
        <v>Jun</v>
      </c>
      <c r="J700" s="217" t="str">
        <f t="shared" si="244"/>
        <v>FY25</v>
      </c>
      <c r="K700" s="217" t="str">
        <f t="shared" si="244"/>
        <v>FCCS_Other Data</v>
      </c>
      <c r="L700" s="217" t="str">
        <f t="shared" si="244"/>
        <v>FCCS_No Intercompany</v>
      </c>
      <c r="M700" s="217" t="str">
        <f t="shared" si="245"/>
        <v>No Custom1</v>
      </c>
      <c r="N700" s="217" t="str">
        <f t="shared" si="244"/>
        <v>No Custom2</v>
      </c>
      <c r="O700" s="217" t="s">
        <v>596</v>
      </c>
      <c r="P700" s="217" t="s">
        <v>719</v>
      </c>
      <c r="Q700" s="217" t="str">
        <f t="shared" si="180"/>
        <v>FCCS_ClosingBalance_Input</v>
      </c>
      <c r="R700" s="217" t="s">
        <v>169</v>
      </c>
      <c r="S700" s="217" t="s">
        <v>848</v>
      </c>
      <c r="T700" s="217" t="s">
        <v>850</v>
      </c>
    </row>
    <row r="701" spans="2:20" x14ac:dyDescent="0.3">
      <c r="B701" s="214" t="s">
        <v>667</v>
      </c>
      <c r="C701" s="215" t="s">
        <v>684</v>
      </c>
      <c r="D701" s="216" t="str">
        <f>[2]!HsSetValue(E701,"FCC","Scenario#"&amp;R701&amp;";Years#"&amp;J701&amp;";Period#"&amp;I701&amp;";View#"&amp;S701&amp;";Entity#"&amp;H701&amp;";Data Source#"&amp;K701&amp;";Account#"&amp;F701&amp;";Intercompany#"&amp;L701&amp;";Movement#"&amp;Q701&amp;";Consolidation#"&amp;T701&amp;";Custom1#"&amp;M701&amp;";Custom2#"&amp;N701&amp;";Custom3#"&amp;O701&amp;";Custom4#"&amp;P701&amp;"")</f>
        <v>#Invalid Syntax</v>
      </c>
      <c r="E701" s="216">
        <f>SUMIFS('Investment Analysis'!$H$22:$H$69,'Investment Analysis'!$E$22:$E$69,"Non-purpose Investments",'Investment Analysis'!$AB$22:$AB$69,"8")</f>
        <v>0</v>
      </c>
      <c r="F701" s="217" t="s">
        <v>674</v>
      </c>
      <c r="G701" s="217" t="s">
        <v>1064</v>
      </c>
      <c r="H701" s="218" t="e">
        <f t="shared" si="244"/>
        <v>#N/A</v>
      </c>
      <c r="I701" s="218" t="str">
        <f t="shared" si="244"/>
        <v>Jun</v>
      </c>
      <c r="J701" s="217" t="str">
        <f t="shared" si="244"/>
        <v>FY25</v>
      </c>
      <c r="K701" s="217" t="str">
        <f t="shared" si="244"/>
        <v>FCCS_Other Data</v>
      </c>
      <c r="L701" s="217" t="str">
        <f t="shared" si="244"/>
        <v>FCCS_No Intercompany</v>
      </c>
      <c r="M701" s="217" t="str">
        <f t="shared" si="245"/>
        <v>No Custom1</v>
      </c>
      <c r="N701" s="217" t="str">
        <f t="shared" si="244"/>
        <v>No Custom2</v>
      </c>
      <c r="O701" s="217" t="s">
        <v>61</v>
      </c>
      <c r="P701" s="217" t="s">
        <v>719</v>
      </c>
      <c r="Q701" s="217" t="str">
        <f t="shared" si="180"/>
        <v>FCCS_ClosingBalance_Input</v>
      </c>
      <c r="R701" s="217" t="s">
        <v>169</v>
      </c>
      <c r="S701" s="217" t="s">
        <v>848</v>
      </c>
      <c r="T701" s="217" t="s">
        <v>850</v>
      </c>
    </row>
    <row r="702" spans="2:20" x14ac:dyDescent="0.3">
      <c r="B702" s="214" t="s">
        <v>667</v>
      </c>
      <c r="C702" s="215" t="s">
        <v>684</v>
      </c>
      <c r="D702" s="216" t="str">
        <f>[2]!HsSetValue(E702,"FCC","Scenario#"&amp;R702&amp;";Years#"&amp;J702&amp;";Period#"&amp;I702&amp;";View#"&amp;S702&amp;";Entity#"&amp;H702&amp;";Data Source#"&amp;K702&amp;";Account#"&amp;F702&amp;";Intercompany#"&amp;L702&amp;";Movement#"&amp;Q702&amp;";Consolidation#"&amp;T702&amp;";Custom1#"&amp;M702&amp;";Custom2#"&amp;N702&amp;";Custom3#"&amp;O702&amp;";Custom4#"&amp;P702&amp;"")</f>
        <v>#Invalid Syntax</v>
      </c>
      <c r="E702" s="216">
        <f>SUMIFS('Investment Analysis'!$H$22:$H$69,'Investment Analysis'!$E$22:$E$69,"Non-purpose Investments",'Investment Analysis'!$AB$22:$AB$69,"7")</f>
        <v>0</v>
      </c>
      <c r="F702" s="217" t="s">
        <v>674</v>
      </c>
      <c r="G702" s="217" t="s">
        <v>1064</v>
      </c>
      <c r="H702" s="218" t="e">
        <f t="shared" si="244"/>
        <v>#N/A</v>
      </c>
      <c r="I702" s="218" t="str">
        <f t="shared" si="244"/>
        <v>Jun</v>
      </c>
      <c r="J702" s="217" t="str">
        <f t="shared" si="244"/>
        <v>FY25</v>
      </c>
      <c r="K702" s="217" t="str">
        <f t="shared" si="244"/>
        <v>FCCS_Other Data</v>
      </c>
      <c r="L702" s="217" t="str">
        <f t="shared" si="244"/>
        <v>FCCS_No Intercompany</v>
      </c>
      <c r="M702" s="217" t="str">
        <f t="shared" si="245"/>
        <v>No Custom1</v>
      </c>
      <c r="N702" s="217" t="str">
        <f t="shared" si="244"/>
        <v>No Custom2</v>
      </c>
      <c r="O702" s="217" t="s">
        <v>62</v>
      </c>
      <c r="P702" s="217" t="s">
        <v>719</v>
      </c>
      <c r="Q702" s="217" t="str">
        <f t="shared" si="180"/>
        <v>FCCS_ClosingBalance_Input</v>
      </c>
      <c r="R702" s="217" t="s">
        <v>169</v>
      </c>
      <c r="S702" s="217" t="s">
        <v>848</v>
      </c>
      <c r="T702" s="217" t="s">
        <v>850</v>
      </c>
    </row>
    <row r="703" spans="2:20" s="371" customFormat="1" x14ac:dyDescent="0.3">
      <c r="B703" s="214" t="s">
        <v>667</v>
      </c>
      <c r="C703" s="215" t="s">
        <v>684</v>
      </c>
      <c r="D703" s="216" t="str">
        <f>[2]!HsSetValue(E703,"FCC","Scenario#"&amp;R703&amp;";Years#"&amp;J703&amp;";Period#"&amp;I703&amp;";View#"&amp;S703&amp;";Entity#"&amp;H703&amp;";Data Source#"&amp;K703&amp;";Account#"&amp;F703&amp;";Intercompany#"&amp;L703&amp;";Movement#"&amp;Q703&amp;";Consolidation#"&amp;T703&amp;";Custom1#"&amp;M703&amp;";Custom2#"&amp;N703&amp;";Custom3#"&amp;O703&amp;";Custom4#"&amp;P703&amp;"")</f>
        <v>#Invalid Syntax</v>
      </c>
      <c r="E703" s="216">
        <f>SUMIFS('Investment Analysis'!$H$22:$H$69,'Investment Analysis'!$E$22:$E$69,"Non-purpose Investments",'Investment Analysis'!$AB$22:$AB$69,"6")</f>
        <v>0</v>
      </c>
      <c r="F703" s="217" t="s">
        <v>674</v>
      </c>
      <c r="G703" s="217" t="s">
        <v>1064</v>
      </c>
      <c r="H703" s="218" t="e">
        <f t="shared" si="244"/>
        <v>#N/A</v>
      </c>
      <c r="I703" s="218" t="str">
        <f t="shared" si="244"/>
        <v>Jun</v>
      </c>
      <c r="J703" s="217" t="str">
        <f t="shared" si="244"/>
        <v>FY25</v>
      </c>
      <c r="K703" s="217" t="str">
        <f t="shared" si="244"/>
        <v>FCCS_Other Data</v>
      </c>
      <c r="L703" s="217" t="str">
        <f t="shared" si="244"/>
        <v>FCCS_No Intercompany</v>
      </c>
      <c r="M703" s="217" t="str">
        <f t="shared" si="245"/>
        <v>No Custom1</v>
      </c>
      <c r="N703" s="217" t="str">
        <f t="shared" si="244"/>
        <v>No Custom2</v>
      </c>
      <c r="O703" s="217" t="s">
        <v>436</v>
      </c>
      <c r="P703" s="217" t="s">
        <v>719</v>
      </c>
      <c r="Q703" s="217" t="str">
        <f t="shared" si="180"/>
        <v>FCCS_ClosingBalance_Input</v>
      </c>
      <c r="R703" s="217" t="s">
        <v>169</v>
      </c>
      <c r="S703" s="217" t="s">
        <v>848</v>
      </c>
      <c r="T703" s="217" t="s">
        <v>850</v>
      </c>
    </row>
    <row r="704" spans="2:20" s="371" customFormat="1" x14ac:dyDescent="0.3">
      <c r="B704" s="214" t="s">
        <v>667</v>
      </c>
      <c r="C704" s="215" t="s">
        <v>684</v>
      </c>
      <c r="D704" s="216" t="str">
        <f>[2]!HsSetValue(E704,"FCC","Scenario#"&amp;R704&amp;";Years#"&amp;J704&amp;";Period#"&amp;I704&amp;";View#"&amp;S704&amp;";Entity#"&amp;H704&amp;";Data Source#"&amp;K704&amp;";Account#"&amp;F704&amp;";Intercompany#"&amp;L704&amp;";Movement#"&amp;Q704&amp;";Consolidation#"&amp;T704&amp;";Custom1#"&amp;M704&amp;";Custom2#"&amp;N704&amp;";Custom3#"&amp;O704&amp;";Custom4#"&amp;P704&amp;"")</f>
        <v>#Invalid Syntax</v>
      </c>
      <c r="E704" s="216">
        <f>SUMIFS('Investment Analysis'!$H$22:$H$69,'Investment Analysis'!$E$22:$E$69,"Non-purpose Investments",'Investment Analysis'!$AB$22:$AB$69,"5")</f>
        <v>0</v>
      </c>
      <c r="F704" s="217" t="s">
        <v>674</v>
      </c>
      <c r="G704" s="217" t="s">
        <v>1064</v>
      </c>
      <c r="H704" s="218" t="e">
        <f t="shared" si="244"/>
        <v>#N/A</v>
      </c>
      <c r="I704" s="218" t="str">
        <f t="shared" si="244"/>
        <v>Jun</v>
      </c>
      <c r="J704" s="217" t="str">
        <f t="shared" si="244"/>
        <v>FY25</v>
      </c>
      <c r="K704" s="217" t="str">
        <f t="shared" si="244"/>
        <v>FCCS_Other Data</v>
      </c>
      <c r="L704" s="217" t="str">
        <f t="shared" si="244"/>
        <v>FCCS_No Intercompany</v>
      </c>
      <c r="M704" s="217" t="str">
        <f t="shared" si="245"/>
        <v>No Custom1</v>
      </c>
      <c r="N704" s="217" t="str">
        <f t="shared" si="244"/>
        <v>No Custom2</v>
      </c>
      <c r="O704" s="217" t="s">
        <v>434</v>
      </c>
      <c r="P704" s="217" t="s">
        <v>719</v>
      </c>
      <c r="Q704" s="217" t="str">
        <f t="shared" si="180"/>
        <v>FCCS_ClosingBalance_Input</v>
      </c>
      <c r="R704" s="217" t="str">
        <f t="shared" ref="R704:S708" si="246">+R$2</f>
        <v>Actual</v>
      </c>
      <c r="S704" s="217" t="str">
        <f t="shared" si="246"/>
        <v>FCCS_YTD_Input</v>
      </c>
      <c r="T704" s="217" t="s">
        <v>850</v>
      </c>
    </row>
    <row r="705" spans="2:20" s="371" customFormat="1" x14ac:dyDescent="0.3">
      <c r="B705" s="214" t="s">
        <v>667</v>
      </c>
      <c r="C705" s="215" t="s">
        <v>684</v>
      </c>
      <c r="D705" s="216" t="str">
        <f>[2]!HsSetValue(E705,"FCC","Scenario#"&amp;R705&amp;";Years#"&amp;J705&amp;";Period#"&amp;I705&amp;";View#"&amp;S705&amp;";Entity#"&amp;H705&amp;";Data Source#"&amp;K705&amp;";Account#"&amp;F705&amp;";Intercompany#"&amp;L705&amp;";Movement#"&amp;Q705&amp;";Consolidation#"&amp;T705&amp;";Custom1#"&amp;M705&amp;";Custom2#"&amp;N705&amp;";Custom3#"&amp;O705&amp;";Custom4#"&amp;P705&amp;"")</f>
        <v>#Invalid Syntax</v>
      </c>
      <c r="E705" s="216">
        <f>SUMIFS('Investment Analysis'!$H$22:$H$69,'Investment Analysis'!$E$22:$E$69,"Non-purpose Investments",'Investment Analysis'!$AB$22:$AB$69,"4")</f>
        <v>0</v>
      </c>
      <c r="F705" s="217" t="s">
        <v>674</v>
      </c>
      <c r="G705" s="217" t="s">
        <v>1064</v>
      </c>
      <c r="H705" s="218" t="e">
        <f t="shared" si="244"/>
        <v>#N/A</v>
      </c>
      <c r="I705" s="218" t="str">
        <f t="shared" si="244"/>
        <v>Jun</v>
      </c>
      <c r="J705" s="217" t="str">
        <f t="shared" si="244"/>
        <v>FY25</v>
      </c>
      <c r="K705" s="217" t="str">
        <f t="shared" si="244"/>
        <v>FCCS_Other Data</v>
      </c>
      <c r="L705" s="217" t="str">
        <f t="shared" si="244"/>
        <v>FCCS_No Intercompany</v>
      </c>
      <c r="M705" s="217" t="str">
        <f t="shared" si="245"/>
        <v>No Custom1</v>
      </c>
      <c r="N705" s="217" t="str">
        <f t="shared" si="244"/>
        <v>No Custom2</v>
      </c>
      <c r="O705" s="217" t="s">
        <v>63</v>
      </c>
      <c r="P705" s="217" t="s">
        <v>719</v>
      </c>
      <c r="Q705" s="217" t="str">
        <f t="shared" si="180"/>
        <v>FCCS_ClosingBalance_Input</v>
      </c>
      <c r="R705" s="217" t="str">
        <f t="shared" si="246"/>
        <v>Actual</v>
      </c>
      <c r="S705" s="217" t="str">
        <f t="shared" si="246"/>
        <v>FCCS_YTD_Input</v>
      </c>
      <c r="T705" s="217" t="s">
        <v>850</v>
      </c>
    </row>
    <row r="706" spans="2:20" s="371" customFormat="1" x14ac:dyDescent="0.3">
      <c r="B706" s="214" t="s">
        <v>667</v>
      </c>
      <c r="C706" s="215" t="s">
        <v>684</v>
      </c>
      <c r="D706" s="216" t="str">
        <f>[2]!HsSetValue(E706,"FCC","Scenario#"&amp;R706&amp;";Years#"&amp;J706&amp;";Period#"&amp;I706&amp;";View#"&amp;S706&amp;";Entity#"&amp;H706&amp;";Data Source#"&amp;K706&amp;";Account#"&amp;F706&amp;";Intercompany#"&amp;L706&amp;";Movement#"&amp;Q706&amp;";Consolidation#"&amp;T706&amp;";Custom1#"&amp;M706&amp;";Custom2#"&amp;N706&amp;";Custom3#"&amp;O706&amp;";Custom4#"&amp;P706&amp;"")</f>
        <v>#Invalid Syntax</v>
      </c>
      <c r="E706" s="216">
        <f>SUMIFS('Investment Analysis'!$H$22:$H$69,'Investment Analysis'!$E$22:$E$69,"Non-purpose Investments",'Investment Analysis'!$AB$22:$AB$69,"3")</f>
        <v>0</v>
      </c>
      <c r="F706" s="217" t="s">
        <v>674</v>
      </c>
      <c r="G706" s="217" t="s">
        <v>1064</v>
      </c>
      <c r="H706" s="218" t="e">
        <f t="shared" si="244"/>
        <v>#N/A</v>
      </c>
      <c r="I706" s="218" t="str">
        <f t="shared" si="244"/>
        <v>Jun</v>
      </c>
      <c r="J706" s="217" t="str">
        <f t="shared" si="244"/>
        <v>FY25</v>
      </c>
      <c r="K706" s="217" t="str">
        <f t="shared" si="244"/>
        <v>FCCS_Other Data</v>
      </c>
      <c r="L706" s="217" t="str">
        <f t="shared" si="244"/>
        <v>FCCS_No Intercompany</v>
      </c>
      <c r="M706" s="217" t="str">
        <f t="shared" si="245"/>
        <v>No Custom1</v>
      </c>
      <c r="N706" s="217" t="str">
        <f t="shared" si="244"/>
        <v>No Custom2</v>
      </c>
      <c r="O706" s="217" t="s">
        <v>622</v>
      </c>
      <c r="P706" s="217" t="s">
        <v>719</v>
      </c>
      <c r="Q706" s="217" t="str">
        <f t="shared" si="180"/>
        <v>FCCS_ClosingBalance_Input</v>
      </c>
      <c r="R706" s="217" t="str">
        <f t="shared" si="246"/>
        <v>Actual</v>
      </c>
      <c r="S706" s="217" t="str">
        <f t="shared" si="246"/>
        <v>FCCS_YTD_Input</v>
      </c>
      <c r="T706" s="217" t="s">
        <v>850</v>
      </c>
    </row>
    <row r="707" spans="2:20" s="371" customFormat="1" x14ac:dyDescent="0.3">
      <c r="B707" s="214" t="s">
        <v>667</v>
      </c>
      <c r="C707" s="215" t="s">
        <v>684</v>
      </c>
      <c r="D707" s="216" t="str">
        <f>[2]!HsSetValue(E707,"FCC","Scenario#"&amp;R707&amp;";Years#"&amp;J707&amp;";Period#"&amp;I707&amp;";View#"&amp;S707&amp;";Entity#"&amp;H707&amp;";Data Source#"&amp;K707&amp;";Account#"&amp;F707&amp;";Intercompany#"&amp;L707&amp;";Movement#"&amp;Q707&amp;";Consolidation#"&amp;T707&amp;";Custom1#"&amp;M707&amp;";Custom2#"&amp;N707&amp;";Custom3#"&amp;O707&amp;";Custom4#"&amp;P707&amp;"")</f>
        <v>#Invalid Syntax</v>
      </c>
      <c r="E707" s="216">
        <f>SUMIFS('Investment Analysis'!$H$22:$H$69,'Investment Analysis'!$E$22:$E$69,"Non-purpose Investments",'Investment Analysis'!$AB$22:$AB$69,"2")</f>
        <v>0</v>
      </c>
      <c r="F707" s="217" t="s">
        <v>674</v>
      </c>
      <c r="G707" s="217" t="s">
        <v>1064</v>
      </c>
      <c r="H707" s="218" t="e">
        <f t="shared" si="244"/>
        <v>#N/A</v>
      </c>
      <c r="I707" s="218" t="str">
        <f t="shared" si="244"/>
        <v>Jun</v>
      </c>
      <c r="J707" s="217" t="str">
        <f t="shared" si="244"/>
        <v>FY25</v>
      </c>
      <c r="K707" s="217" t="str">
        <f t="shared" si="244"/>
        <v>FCCS_Other Data</v>
      </c>
      <c r="L707" s="217" t="str">
        <f t="shared" si="244"/>
        <v>FCCS_No Intercompany</v>
      </c>
      <c r="M707" s="217" t="str">
        <f t="shared" si="245"/>
        <v>No Custom1</v>
      </c>
      <c r="N707" s="217" t="str">
        <f t="shared" si="244"/>
        <v>No Custom2</v>
      </c>
      <c r="O707" s="217" t="s">
        <v>618</v>
      </c>
      <c r="P707" s="217" t="s">
        <v>719</v>
      </c>
      <c r="Q707" s="217" t="str">
        <f t="shared" si="180"/>
        <v>FCCS_ClosingBalance_Input</v>
      </c>
      <c r="R707" s="217" t="str">
        <f t="shared" si="246"/>
        <v>Actual</v>
      </c>
      <c r="S707" s="217" t="str">
        <f t="shared" si="246"/>
        <v>FCCS_YTD_Input</v>
      </c>
      <c r="T707" s="217" t="s">
        <v>850</v>
      </c>
    </row>
    <row r="708" spans="2:20" x14ac:dyDescent="0.3">
      <c r="B708" s="214" t="s">
        <v>667</v>
      </c>
      <c r="C708" s="215" t="s">
        <v>684</v>
      </c>
      <c r="D708" s="216" t="str">
        <f>[2]!HsSetValue(E708,"FCC","Scenario#"&amp;R708&amp;";Years#"&amp;J708&amp;";Period#"&amp;I708&amp;";View#"&amp;S708&amp;";Entity#"&amp;H708&amp;";Data Source#"&amp;K708&amp;";Account#"&amp;F708&amp;";Intercompany#"&amp;L708&amp;";Movement#"&amp;Q708&amp;";Consolidation#"&amp;T708&amp;";Custom1#"&amp;M708&amp;";Custom2#"&amp;N708&amp;";Custom3#"&amp;O708&amp;";Custom4#"&amp;P708&amp;"")</f>
        <v>#Invalid Syntax</v>
      </c>
      <c r="E708" s="216">
        <f>SUMIFS('Investment Analysis'!$H$22:$H$69,'Investment Analysis'!$E$22:$E$69,"Non-purpose Investments",'Investment Analysis'!$AB$22:$AB$69,"1")</f>
        <v>0</v>
      </c>
      <c r="F708" s="217" t="s">
        <v>674</v>
      </c>
      <c r="G708" s="217" t="s">
        <v>1064</v>
      </c>
      <c r="H708" s="218" t="e">
        <f t="shared" si="244"/>
        <v>#N/A</v>
      </c>
      <c r="I708" s="218" t="str">
        <f t="shared" si="244"/>
        <v>Jun</v>
      </c>
      <c r="J708" s="217" t="str">
        <f t="shared" si="244"/>
        <v>FY25</v>
      </c>
      <c r="K708" s="217" t="str">
        <f t="shared" si="244"/>
        <v>FCCS_Other Data</v>
      </c>
      <c r="L708" s="217" t="str">
        <f t="shared" si="244"/>
        <v>FCCS_No Intercompany</v>
      </c>
      <c r="M708" s="217" t="str">
        <f t="shared" si="245"/>
        <v>No Custom1</v>
      </c>
      <c r="N708" s="217" t="str">
        <f t="shared" si="244"/>
        <v>No Custom2</v>
      </c>
      <c r="O708" s="217" t="s">
        <v>64</v>
      </c>
      <c r="P708" s="217" t="s">
        <v>719</v>
      </c>
      <c r="Q708" s="217" t="str">
        <f t="shared" si="180"/>
        <v>FCCS_ClosingBalance_Input</v>
      </c>
      <c r="R708" s="217" t="str">
        <f t="shared" si="246"/>
        <v>Actual</v>
      </c>
      <c r="S708" s="217" t="str">
        <f t="shared" si="246"/>
        <v>FCCS_YTD_Input</v>
      </c>
      <c r="T708" s="217" t="s">
        <v>850</v>
      </c>
    </row>
    <row r="709" spans="2:20" x14ac:dyDescent="0.3">
      <c r="B709" s="214" t="s">
        <v>667</v>
      </c>
      <c r="C709" s="215" t="s">
        <v>684</v>
      </c>
      <c r="D709" s="216" t="str">
        <f>[2]!HsSetValue(E709,"FCC","Scenario#"&amp;R709&amp;";Years#"&amp;J709&amp;";Period#"&amp;I709&amp;";View#"&amp;S709&amp;";Entity#"&amp;H709&amp;";Data Source#"&amp;K709&amp;";Account#"&amp;F709&amp;";Intercompany#"&amp;L709&amp;";Movement#"&amp;Q709&amp;";Consolidation#"&amp;T709&amp;";Custom1#"&amp;M709&amp;";Custom2#"&amp;N709&amp;";Custom3#"&amp;O709&amp;";Custom4#"&amp;P709&amp;"")</f>
        <v>#Invalid Syntax</v>
      </c>
      <c r="E709" s="216">
        <f>SUMIFS('Investment Analysis'!$H$22:$H$69,'Investment Analysis'!$E$22:$E$69,"Non-purpose Investments",'Investment Analysis'!$AI$22:$AI$69,"16")</f>
        <v>0</v>
      </c>
      <c r="F709" s="217" t="s">
        <v>674</v>
      </c>
      <c r="G709" s="217" t="s">
        <v>1064</v>
      </c>
      <c r="H709" s="218" t="e">
        <f t="shared" si="244"/>
        <v>#N/A</v>
      </c>
      <c r="I709" s="218" t="str">
        <f t="shared" si="244"/>
        <v>Jun</v>
      </c>
      <c r="J709" s="217" t="str">
        <f t="shared" si="244"/>
        <v>FY25</v>
      </c>
      <c r="K709" s="217" t="str">
        <f t="shared" si="244"/>
        <v>FCCS_Other Data</v>
      </c>
      <c r="L709" s="217" t="str">
        <f t="shared" si="244"/>
        <v>FCCS_No Intercompany</v>
      </c>
      <c r="M709" s="217" t="str">
        <f t="shared" si="245"/>
        <v>No Custom1</v>
      </c>
      <c r="N709" s="217" t="str">
        <f t="shared" si="244"/>
        <v>No Custom2</v>
      </c>
      <c r="O709" s="217" t="s">
        <v>726</v>
      </c>
      <c r="P709" s="217" t="s">
        <v>719</v>
      </c>
      <c r="Q709" s="217" t="str">
        <f t="shared" si="180"/>
        <v>FCCS_ClosingBalance_Input</v>
      </c>
      <c r="R709" s="217" t="s">
        <v>169</v>
      </c>
      <c r="S709" s="217" t="s">
        <v>848</v>
      </c>
      <c r="T709" s="217" t="s">
        <v>850</v>
      </c>
    </row>
    <row r="710" spans="2:20" x14ac:dyDescent="0.3">
      <c r="B710" s="214" t="s">
        <v>667</v>
      </c>
      <c r="C710" s="215" t="s">
        <v>684</v>
      </c>
      <c r="D710" s="216" t="str">
        <f>[2]!HsSetValue(E710,"FCC","Scenario#"&amp;R710&amp;";Years#"&amp;J710&amp;";Period#"&amp;I710&amp;";View#"&amp;S710&amp;";Entity#"&amp;H710&amp;";Data Source#"&amp;K710&amp;";Account#"&amp;F710&amp;";Intercompany#"&amp;L710&amp;";Movement#"&amp;Q710&amp;";Consolidation#"&amp;T710&amp;";Custom1#"&amp;M710&amp;";Custom2#"&amp;N710&amp;";Custom3#"&amp;O710&amp;";Custom4#"&amp;P710&amp;"")</f>
        <v>#Invalid Syntax</v>
      </c>
      <c r="E710" s="216">
        <f>SUMIFS('Investment Analysis'!$H$22:$H$69,'Investment Analysis'!$E$22:$E$69,"Non-purpose Investments",'Investment Analysis'!$AI$22:$AI$69,"15")</f>
        <v>0</v>
      </c>
      <c r="F710" s="217" t="s">
        <v>674</v>
      </c>
      <c r="G710" s="217" t="s">
        <v>1064</v>
      </c>
      <c r="H710" s="218" t="e">
        <f t="shared" si="244"/>
        <v>#N/A</v>
      </c>
      <c r="I710" s="218" t="str">
        <f t="shared" si="244"/>
        <v>Jun</v>
      </c>
      <c r="J710" s="217" t="str">
        <f t="shared" si="244"/>
        <v>FY25</v>
      </c>
      <c r="K710" s="217" t="str">
        <f t="shared" si="244"/>
        <v>FCCS_Other Data</v>
      </c>
      <c r="L710" s="217" t="str">
        <f t="shared" si="244"/>
        <v>FCCS_No Intercompany</v>
      </c>
      <c r="M710" s="217" t="str">
        <f t="shared" si="245"/>
        <v>No Custom1</v>
      </c>
      <c r="N710" s="217" t="str">
        <f t="shared" si="244"/>
        <v>No Custom2</v>
      </c>
      <c r="O710" s="217" t="s">
        <v>727</v>
      </c>
      <c r="P710" s="217" t="s">
        <v>719</v>
      </c>
      <c r="Q710" s="217" t="str">
        <f t="shared" si="180"/>
        <v>FCCS_ClosingBalance_Input</v>
      </c>
      <c r="R710" s="217" t="s">
        <v>169</v>
      </c>
      <c r="S710" s="217" t="s">
        <v>848</v>
      </c>
      <c r="T710" s="217" t="s">
        <v>850</v>
      </c>
    </row>
    <row r="711" spans="2:20" x14ac:dyDescent="0.3">
      <c r="B711" s="214" t="s">
        <v>667</v>
      </c>
      <c r="C711" s="215" t="s">
        <v>684</v>
      </c>
      <c r="D711" s="216" t="str">
        <f>[2]!HsSetValue(E711,"FCC","Scenario#"&amp;R711&amp;";Years#"&amp;J711&amp;";Period#"&amp;I711&amp;";View#"&amp;S711&amp;";Entity#"&amp;H711&amp;";Data Source#"&amp;K711&amp;";Account#"&amp;F711&amp;";Intercompany#"&amp;L711&amp;";Movement#"&amp;Q711&amp;";Consolidation#"&amp;T711&amp;";Custom1#"&amp;M711&amp;";Custom2#"&amp;N711&amp;";Custom3#"&amp;O711&amp;";Custom4#"&amp;P711&amp;"")</f>
        <v>#Invalid Syntax</v>
      </c>
      <c r="E711" s="216">
        <f>SUMIFS('Investment Analysis'!$H$22:$H$69,'Investment Analysis'!$E$22:$E$69,"Non-purpose Investments",'Investment Analysis'!$AI$22:$AI$69,"14")</f>
        <v>0</v>
      </c>
      <c r="F711" s="217" t="s">
        <v>674</v>
      </c>
      <c r="G711" s="217" t="s">
        <v>1064</v>
      </c>
      <c r="H711" s="218" t="e">
        <f t="shared" si="244"/>
        <v>#N/A</v>
      </c>
      <c r="I711" s="218" t="str">
        <f t="shared" si="244"/>
        <v>Jun</v>
      </c>
      <c r="J711" s="217" t="str">
        <f t="shared" si="244"/>
        <v>FY25</v>
      </c>
      <c r="K711" s="217" t="str">
        <f t="shared" si="244"/>
        <v>FCCS_Other Data</v>
      </c>
      <c r="L711" s="217" t="str">
        <f t="shared" si="244"/>
        <v>FCCS_No Intercompany</v>
      </c>
      <c r="M711" s="217" t="str">
        <f t="shared" si="245"/>
        <v>No Custom1</v>
      </c>
      <c r="N711" s="217" t="str">
        <f t="shared" si="244"/>
        <v>No Custom2</v>
      </c>
      <c r="O711" s="217" t="s">
        <v>728</v>
      </c>
      <c r="P711" s="217" t="s">
        <v>719</v>
      </c>
      <c r="Q711" s="217" t="str">
        <f t="shared" si="180"/>
        <v>FCCS_ClosingBalance_Input</v>
      </c>
      <c r="R711" s="217" t="s">
        <v>169</v>
      </c>
      <c r="S711" s="217" t="s">
        <v>848</v>
      </c>
      <c r="T711" s="217" t="s">
        <v>850</v>
      </c>
    </row>
    <row r="712" spans="2:20" x14ac:dyDescent="0.3">
      <c r="B712" s="214" t="s">
        <v>667</v>
      </c>
      <c r="C712" s="215" t="s">
        <v>684</v>
      </c>
      <c r="D712" s="216" t="str">
        <f>[2]!HsSetValue(E712,"FCC","Scenario#"&amp;R712&amp;";Years#"&amp;J712&amp;";Period#"&amp;I712&amp;";View#"&amp;S712&amp;";Entity#"&amp;H712&amp;";Data Source#"&amp;K712&amp;";Account#"&amp;F712&amp;";Intercompany#"&amp;L712&amp;";Movement#"&amp;Q712&amp;";Consolidation#"&amp;T712&amp;";Custom1#"&amp;M712&amp;";Custom2#"&amp;N712&amp;";Custom3#"&amp;O712&amp;";Custom4#"&amp;P712&amp;"")</f>
        <v>#Invalid Syntax</v>
      </c>
      <c r="E712" s="216">
        <f>SUMIFS('Investment Analysis'!$H$22:$H$69,'Investment Analysis'!$E$22:$E$69,"Non-purpose Investments",'Investment Analysis'!$AB$22:$AB$69,"0")+SUMIFS('Investment Analysis'!$H$22:$H$69,'Investment Analysis'!$E$22:$E$69,"Non-purpose Investments",'Investment Analysis'!$AI$22:$AI$69,"0")</f>
        <v>0</v>
      </c>
      <c r="F712" s="217" t="s">
        <v>674</v>
      </c>
      <c r="G712" s="217" t="s">
        <v>1064</v>
      </c>
      <c r="H712" s="218" t="e">
        <f t="shared" si="244"/>
        <v>#N/A</v>
      </c>
      <c r="I712" s="218" t="str">
        <f t="shared" si="244"/>
        <v>Jun</v>
      </c>
      <c r="J712" s="217" t="str">
        <f t="shared" si="244"/>
        <v>FY25</v>
      </c>
      <c r="K712" s="217" t="str">
        <f t="shared" si="244"/>
        <v>FCCS_Other Data</v>
      </c>
      <c r="L712" s="217" t="str">
        <f t="shared" si="244"/>
        <v>FCCS_No Intercompany</v>
      </c>
      <c r="M712" s="217" t="str">
        <f t="shared" si="245"/>
        <v>No Custom1</v>
      </c>
      <c r="N712" s="217" t="str">
        <f t="shared" si="244"/>
        <v>No Custom2</v>
      </c>
      <c r="O712" s="217" t="s">
        <v>609</v>
      </c>
      <c r="P712" s="217" t="s">
        <v>719</v>
      </c>
      <c r="Q712" s="217" t="str">
        <f t="shared" si="180"/>
        <v>FCCS_ClosingBalance_Input</v>
      </c>
      <c r="R712" s="217" t="s">
        <v>169</v>
      </c>
      <c r="S712" s="217" t="s">
        <v>848</v>
      </c>
      <c r="T712" s="217" t="s">
        <v>850</v>
      </c>
    </row>
    <row r="713" spans="2:20" x14ac:dyDescent="0.3">
      <c r="B713" s="210"/>
      <c r="C713" s="211"/>
      <c r="D713" s="212"/>
      <c r="E713" s="212"/>
    </row>
    <row r="714" spans="2:20" x14ac:dyDescent="0.3">
      <c r="B714" s="219" t="s">
        <v>1014</v>
      </c>
      <c r="C714" s="220" t="s">
        <v>684</v>
      </c>
      <c r="D714" s="221" t="str">
        <f>[2]!HsSetValue(E714,"FCC","Scenario#"&amp;R714&amp;";Years#"&amp;J714&amp;";Period#"&amp;I714&amp;";View#"&amp;S714&amp;";Entity#"&amp;H714&amp;";Data Source#"&amp;K714&amp;";Account#"&amp;F714&amp;";Intercompany#"&amp;L714&amp;";Movement#"&amp;Q714&amp;";Consolidation#"&amp;T714&amp;";Custom1#"&amp;M714&amp;";Custom2#"&amp;N714&amp;";Custom3#"&amp;O714&amp;";Custom4#"&amp;P714&amp;"")</f>
        <v>#Invalid Syntax</v>
      </c>
      <c r="E714" s="221">
        <f>SUMIFS('Investment Analysis'!$H$22:$H$69,'Investment Analysis'!$E$22:$E$69,"Non-purpose Investments",'Investment Analysis'!$AK$22:$AK$69,"21")</f>
        <v>0</v>
      </c>
      <c r="F714" s="222" t="s">
        <v>675</v>
      </c>
      <c r="G714" s="222" t="s">
        <v>1036</v>
      </c>
      <c r="H714" s="223" t="e">
        <f t="shared" ref="H714:N718" si="247">+H$2</f>
        <v>#N/A</v>
      </c>
      <c r="I714" s="223" t="str">
        <f t="shared" si="247"/>
        <v>Jun</v>
      </c>
      <c r="J714" s="222" t="str">
        <f t="shared" si="247"/>
        <v>FY25</v>
      </c>
      <c r="K714" s="222" t="s">
        <v>843</v>
      </c>
      <c r="L714" s="222" t="s">
        <v>844</v>
      </c>
      <c r="M714" s="222" t="s">
        <v>845</v>
      </c>
      <c r="N714" s="222" t="s">
        <v>846</v>
      </c>
      <c r="O714" s="222" t="s">
        <v>729</v>
      </c>
      <c r="P714" s="222" t="s">
        <v>719</v>
      </c>
      <c r="Q714" s="222" t="str">
        <f t="shared" si="180"/>
        <v>FCCS_ClosingBalance_Input</v>
      </c>
      <c r="R714" s="222" t="s">
        <v>169</v>
      </c>
      <c r="S714" s="222" t="s">
        <v>848</v>
      </c>
      <c r="T714" s="222" t="s">
        <v>850</v>
      </c>
    </row>
    <row r="715" spans="2:20" x14ac:dyDescent="0.3">
      <c r="B715" s="219" t="s">
        <v>1014</v>
      </c>
      <c r="C715" s="220" t="s">
        <v>684</v>
      </c>
      <c r="D715" s="221" t="str">
        <f>[2]!HsSetValue(E715,"FCC","Scenario#"&amp;R715&amp;";Years#"&amp;J715&amp;";Period#"&amp;I715&amp;";View#"&amp;S715&amp;";Entity#"&amp;H715&amp;";Data Source#"&amp;K715&amp;";Account#"&amp;F715&amp;";Intercompany#"&amp;L715&amp;";Movement#"&amp;Q715&amp;";Consolidation#"&amp;T715&amp;";Custom1#"&amp;M715&amp;";Custom2#"&amp;N715&amp;";Custom3#"&amp;O715&amp;";Custom4#"&amp;P715&amp;"")</f>
        <v>#Invalid Syntax</v>
      </c>
      <c r="E715" s="221">
        <f>SUMIFS('Investment Analysis'!$H$22:$H$69,'Investment Analysis'!$E$22:$E$69,"Non-purpose Investments",'Investment Analysis'!$AK$22:$AK$69,"22")</f>
        <v>0</v>
      </c>
      <c r="F715" s="222" t="s">
        <v>675</v>
      </c>
      <c r="G715" s="222" t="s">
        <v>1036</v>
      </c>
      <c r="H715" s="223" t="e">
        <f t="shared" si="247"/>
        <v>#N/A</v>
      </c>
      <c r="I715" s="223" t="str">
        <f t="shared" si="247"/>
        <v>Jun</v>
      </c>
      <c r="J715" s="222" t="str">
        <f t="shared" si="247"/>
        <v>FY25</v>
      </c>
      <c r="K715" s="222" t="str">
        <f t="shared" si="247"/>
        <v>FCCS_Other Data</v>
      </c>
      <c r="L715" s="222" t="str">
        <f t="shared" si="247"/>
        <v>FCCS_No Intercompany</v>
      </c>
      <c r="M715" s="222" t="str">
        <f>+M$1</f>
        <v>No Custom1</v>
      </c>
      <c r="N715" s="222" t="str">
        <f t="shared" si="247"/>
        <v>No Custom2</v>
      </c>
      <c r="O715" s="222" t="s">
        <v>730</v>
      </c>
      <c r="P715" s="222" t="s">
        <v>719</v>
      </c>
      <c r="Q715" s="222" t="str">
        <f t="shared" si="180"/>
        <v>FCCS_ClosingBalance_Input</v>
      </c>
      <c r="R715" s="222" t="s">
        <v>169</v>
      </c>
      <c r="S715" s="222" t="s">
        <v>848</v>
      </c>
      <c r="T715" s="222" t="s">
        <v>850</v>
      </c>
    </row>
    <row r="716" spans="2:20" x14ac:dyDescent="0.3">
      <c r="B716" s="219" t="s">
        <v>1014</v>
      </c>
      <c r="C716" s="220" t="s">
        <v>684</v>
      </c>
      <c r="D716" s="221" t="str">
        <f>[2]!HsSetValue(E716,"FCC","Scenario#"&amp;R716&amp;";Years#"&amp;J716&amp;";Period#"&amp;I716&amp;";View#"&amp;S716&amp;";Entity#"&amp;H716&amp;";Data Source#"&amp;K716&amp;";Account#"&amp;F716&amp;";Intercompany#"&amp;L716&amp;";Movement#"&amp;Q716&amp;";Consolidation#"&amp;T716&amp;";Custom1#"&amp;M716&amp;";Custom2#"&amp;N716&amp;";Custom3#"&amp;O716&amp;";Custom4#"&amp;P716&amp;"")</f>
        <v>#Invalid Syntax</v>
      </c>
      <c r="E716" s="221">
        <f>SUMIFS('Investment Analysis'!$H$22:$H$69,'Investment Analysis'!$E$22:$E$69,"Non-purpose Investments",'Investment Analysis'!$AK$22:$AK$69,"23")</f>
        <v>0</v>
      </c>
      <c r="F716" s="222" t="s">
        <v>675</v>
      </c>
      <c r="G716" s="222" t="s">
        <v>1036</v>
      </c>
      <c r="H716" s="223" t="e">
        <f t="shared" si="247"/>
        <v>#N/A</v>
      </c>
      <c r="I716" s="223" t="str">
        <f t="shared" si="247"/>
        <v>Jun</v>
      </c>
      <c r="J716" s="222" t="str">
        <f t="shared" si="247"/>
        <v>FY25</v>
      </c>
      <c r="K716" s="222" t="str">
        <f t="shared" si="247"/>
        <v>FCCS_Other Data</v>
      </c>
      <c r="L716" s="222" t="str">
        <f t="shared" si="247"/>
        <v>FCCS_No Intercompany</v>
      </c>
      <c r="M716" s="222" t="str">
        <f>+M$1</f>
        <v>No Custom1</v>
      </c>
      <c r="N716" s="222" t="str">
        <f t="shared" si="247"/>
        <v>No Custom2</v>
      </c>
      <c r="O716" s="222" t="s">
        <v>731</v>
      </c>
      <c r="P716" s="222" t="s">
        <v>719</v>
      </c>
      <c r="Q716" s="222" t="str">
        <f t="shared" si="180"/>
        <v>FCCS_ClosingBalance_Input</v>
      </c>
      <c r="R716" s="222" t="s">
        <v>169</v>
      </c>
      <c r="S716" s="222" t="s">
        <v>848</v>
      </c>
      <c r="T716" s="222" t="s">
        <v>850</v>
      </c>
    </row>
    <row r="717" spans="2:20" x14ac:dyDescent="0.3">
      <c r="B717" s="219" t="s">
        <v>1014</v>
      </c>
      <c r="C717" s="220" t="s">
        <v>684</v>
      </c>
      <c r="D717" s="221" t="str">
        <f>[2]!HsSetValue(E717,"FCC","Scenario#"&amp;R717&amp;";Years#"&amp;J717&amp;";Period#"&amp;I717&amp;";View#"&amp;S717&amp;";Entity#"&amp;H717&amp;";Data Source#"&amp;K717&amp;";Account#"&amp;F717&amp;";Intercompany#"&amp;L717&amp;";Movement#"&amp;Q717&amp;";Consolidation#"&amp;T717&amp;";Custom1#"&amp;M717&amp;";Custom2#"&amp;N717&amp;";Custom3#"&amp;O717&amp;";Custom4#"&amp;P717&amp;"")</f>
        <v>#Invalid Syntax</v>
      </c>
      <c r="E717" s="221">
        <f>SUMIFS('Investment Analysis'!$H$22:$H$69,'Investment Analysis'!$E$22:$E$69,"Non-purpose Investments",'Investment Analysis'!$AK$22:$AK$69,"24")</f>
        <v>0</v>
      </c>
      <c r="F717" s="222" t="s">
        <v>675</v>
      </c>
      <c r="G717" s="222" t="s">
        <v>1036</v>
      </c>
      <c r="H717" s="223" t="e">
        <f t="shared" si="247"/>
        <v>#N/A</v>
      </c>
      <c r="I717" s="223" t="str">
        <f t="shared" si="247"/>
        <v>Jun</v>
      </c>
      <c r="J717" s="222" t="str">
        <f t="shared" si="247"/>
        <v>FY25</v>
      </c>
      <c r="K717" s="222" t="str">
        <f t="shared" si="247"/>
        <v>FCCS_Other Data</v>
      </c>
      <c r="L717" s="222" t="str">
        <f t="shared" si="247"/>
        <v>FCCS_No Intercompany</v>
      </c>
      <c r="M717" s="222" t="str">
        <f>+M$1</f>
        <v>No Custom1</v>
      </c>
      <c r="N717" s="222" t="str">
        <f t="shared" si="247"/>
        <v>No Custom2</v>
      </c>
      <c r="O717" s="222" t="s">
        <v>732</v>
      </c>
      <c r="P717" s="222" t="s">
        <v>719</v>
      </c>
      <c r="Q717" s="222" t="str">
        <f t="shared" si="180"/>
        <v>FCCS_ClosingBalance_Input</v>
      </c>
      <c r="R717" s="222" t="s">
        <v>169</v>
      </c>
      <c r="S717" s="222" t="s">
        <v>848</v>
      </c>
      <c r="T717" s="222" t="s">
        <v>850</v>
      </c>
    </row>
    <row r="718" spans="2:20" x14ac:dyDescent="0.3">
      <c r="B718" s="219" t="s">
        <v>1014</v>
      </c>
      <c r="C718" s="220" t="s">
        <v>684</v>
      </c>
      <c r="D718" s="221" t="str">
        <f>[2]!HsSetValue(E718,"FCC","Scenario#"&amp;R718&amp;";Years#"&amp;J718&amp;";Period#"&amp;I718&amp;";View#"&amp;S718&amp;";Entity#"&amp;H718&amp;";Data Source#"&amp;K718&amp;";Account#"&amp;F718&amp;";Intercompany#"&amp;L718&amp;";Movement#"&amp;Q718&amp;";Consolidation#"&amp;T718&amp;";Custom1#"&amp;M718&amp;";Custom2#"&amp;N718&amp;";Custom3#"&amp;O718&amp;";Custom4#"&amp;P718&amp;"")</f>
        <v>#Invalid Syntax</v>
      </c>
      <c r="E718" s="221">
        <f>SUMIFS('Investment Analysis'!$H$22:$H$69,'Investment Analysis'!$E$22:$E$69,"Non-purpose Investments",'Investment Analysis'!$AK$22:$AK$69,"25")</f>
        <v>0</v>
      </c>
      <c r="F718" s="222" t="s">
        <v>675</v>
      </c>
      <c r="G718" s="222" t="s">
        <v>1036</v>
      </c>
      <c r="H718" s="223" t="e">
        <f t="shared" si="247"/>
        <v>#N/A</v>
      </c>
      <c r="I718" s="223" t="str">
        <f t="shared" si="247"/>
        <v>Jun</v>
      </c>
      <c r="J718" s="222" t="str">
        <f t="shared" si="247"/>
        <v>FY25</v>
      </c>
      <c r="K718" s="222" t="str">
        <f t="shared" si="247"/>
        <v>FCCS_Other Data</v>
      </c>
      <c r="L718" s="222" t="str">
        <f t="shared" si="247"/>
        <v>FCCS_No Intercompany</v>
      </c>
      <c r="M718" s="222" t="str">
        <f>+M$1</f>
        <v>No Custom1</v>
      </c>
      <c r="N718" s="222" t="str">
        <f t="shared" si="247"/>
        <v>No Custom2</v>
      </c>
      <c r="O718" s="222" t="s">
        <v>733</v>
      </c>
      <c r="P718" s="222" t="s">
        <v>719</v>
      </c>
      <c r="Q718" s="222" t="str">
        <f t="shared" si="180"/>
        <v>FCCS_ClosingBalance_Input</v>
      </c>
      <c r="R718" s="222" t="s">
        <v>169</v>
      </c>
      <c r="S718" s="222" t="s">
        <v>848</v>
      </c>
      <c r="T718" s="222" t="s">
        <v>850</v>
      </c>
    </row>
    <row r="720" spans="2:20" x14ac:dyDescent="0.3">
      <c r="B720" s="364" t="s">
        <v>668</v>
      </c>
      <c r="C720" s="364" t="s">
        <v>893</v>
      </c>
      <c r="D720" s="366" t="str">
        <f>[2]!HsSetValue(E720,"FCC","Scenario#"&amp;R720&amp;";Years#"&amp;J720&amp;";Period#"&amp;I720&amp;";View#"&amp;S720&amp;";Entity#"&amp;H720&amp;";Data Source#"&amp;K720&amp;";Account#"&amp;F720&amp;";Intercompany#"&amp;L720&amp;";Movement#"&amp;Q720&amp;";Consolidation#"&amp;T720&amp;";Custom1#"&amp;M720&amp;";Custom2#"&amp;N720&amp;";Custom3#"&amp;O720&amp;";Custom4#"&amp;P720&amp;"")</f>
        <v>#Invalid Syntax</v>
      </c>
      <c r="E720" s="366">
        <f>SUMIF('Investment Analysis'!$E$22:$E$69,'FCC Investments - Load Tab'!C720,'Investment Analysis'!$K$22:$K$69)</f>
        <v>0</v>
      </c>
      <c r="F720" s="367" t="s">
        <v>673</v>
      </c>
      <c r="G720" s="367" t="s">
        <v>965</v>
      </c>
      <c r="H720" s="368" t="e">
        <f t="shared" ref="H720:N724" si="248">+H$2</f>
        <v>#N/A</v>
      </c>
      <c r="I720" s="368" t="str">
        <f t="shared" si="248"/>
        <v>Jun</v>
      </c>
      <c r="J720" s="367" t="str">
        <f t="shared" si="248"/>
        <v>FY25</v>
      </c>
      <c r="K720" s="367" t="s">
        <v>843</v>
      </c>
      <c r="L720" s="367" t="s">
        <v>844</v>
      </c>
      <c r="M720" s="367" t="s">
        <v>845</v>
      </c>
      <c r="N720" s="367" t="s">
        <v>846</v>
      </c>
      <c r="O720" s="367" t="s">
        <v>721</v>
      </c>
      <c r="P720" s="367" t="s">
        <v>720</v>
      </c>
      <c r="Q720" s="367" t="str">
        <f t="shared" si="180"/>
        <v>FCCS_ClosingBalance_Input</v>
      </c>
      <c r="R720" s="367" t="s">
        <v>169</v>
      </c>
      <c r="S720" s="367" t="s">
        <v>848</v>
      </c>
      <c r="T720" s="367" t="s">
        <v>850</v>
      </c>
    </row>
    <row r="721" spans="2:20" x14ac:dyDescent="0.3">
      <c r="B721" s="364" t="s">
        <v>668</v>
      </c>
      <c r="C721" s="364" t="s">
        <v>893</v>
      </c>
      <c r="D721" s="366" t="str">
        <f>[2]!HsSetValue(E721,"FCC","Scenario#"&amp;R721&amp;";Years#"&amp;J721&amp;";Period#"&amp;I721&amp;";View#"&amp;S721&amp;";Entity#"&amp;H721&amp;";Data Source#"&amp;K721&amp;";Account#"&amp;F721&amp;";Intercompany#"&amp;L721&amp;";Movement#"&amp;Q721&amp;";Consolidation#"&amp;T721&amp;";Custom1#"&amp;M721&amp;";Custom2#"&amp;N721&amp;";Custom3#"&amp;O721&amp;";Custom4#"&amp;P721&amp;"")</f>
        <v>#Invalid Syntax</v>
      </c>
      <c r="E721" s="366">
        <f>SUMIF('Investment Analysis'!$E$22:$E$69,'FCC Investments - Load Tab'!C720,'Investment Analysis'!$L$22:$L$69)</f>
        <v>0</v>
      </c>
      <c r="F721" s="367" t="s">
        <v>673</v>
      </c>
      <c r="G721" s="367" t="s">
        <v>965</v>
      </c>
      <c r="H721" s="368" t="e">
        <f t="shared" si="248"/>
        <v>#N/A</v>
      </c>
      <c r="I721" s="368" t="str">
        <f t="shared" si="248"/>
        <v>Jun</v>
      </c>
      <c r="J721" s="367" t="str">
        <f t="shared" si="248"/>
        <v>FY25</v>
      </c>
      <c r="K721" s="367" t="str">
        <f t="shared" si="248"/>
        <v>FCCS_Other Data</v>
      </c>
      <c r="L721" s="367" t="str">
        <f t="shared" si="248"/>
        <v>FCCS_No Intercompany</v>
      </c>
      <c r="M721" s="367" t="str">
        <f>+M$1</f>
        <v>No Custom1</v>
      </c>
      <c r="N721" s="367" t="str">
        <f t="shared" si="248"/>
        <v>No Custom2</v>
      </c>
      <c r="O721" s="367" t="s">
        <v>722</v>
      </c>
      <c r="P721" s="367" t="s">
        <v>720</v>
      </c>
      <c r="Q721" s="367" t="str">
        <f t="shared" si="180"/>
        <v>FCCS_ClosingBalance_Input</v>
      </c>
      <c r="R721" s="367" t="s">
        <v>169</v>
      </c>
      <c r="S721" s="367" t="s">
        <v>848</v>
      </c>
      <c r="T721" s="367" t="s">
        <v>850</v>
      </c>
    </row>
    <row r="722" spans="2:20" x14ac:dyDescent="0.3">
      <c r="B722" s="364" t="s">
        <v>668</v>
      </c>
      <c r="C722" s="364" t="s">
        <v>893</v>
      </c>
      <c r="D722" s="366" t="str">
        <f>[2]!HsSetValue(E722,"FCC","Scenario#"&amp;R722&amp;";Years#"&amp;J722&amp;";Period#"&amp;I722&amp;";View#"&amp;S722&amp;";Entity#"&amp;H722&amp;";Data Source#"&amp;K722&amp;";Account#"&amp;F722&amp;";Intercompany#"&amp;L722&amp;";Movement#"&amp;Q722&amp;";Consolidation#"&amp;T722&amp;";Custom1#"&amp;M722&amp;";Custom2#"&amp;N722&amp;";Custom3#"&amp;O722&amp;";Custom4#"&amp;P722&amp;"")</f>
        <v>#Invalid Syntax</v>
      </c>
      <c r="E722" s="366">
        <f>SUMIF('Investment Analysis'!$E$22:$E$69,'FCC Investments - Load Tab'!C720,'Investment Analysis'!$M$22:$M$69)</f>
        <v>0</v>
      </c>
      <c r="F722" s="367" t="s">
        <v>673</v>
      </c>
      <c r="G722" s="367" t="s">
        <v>965</v>
      </c>
      <c r="H722" s="368" t="e">
        <f t="shared" si="248"/>
        <v>#N/A</v>
      </c>
      <c r="I722" s="368" t="str">
        <f t="shared" si="248"/>
        <v>Jun</v>
      </c>
      <c r="J722" s="367" t="str">
        <f t="shared" si="248"/>
        <v>FY25</v>
      </c>
      <c r="K722" s="367" t="str">
        <f t="shared" si="248"/>
        <v>FCCS_Other Data</v>
      </c>
      <c r="L722" s="367" t="str">
        <f t="shared" si="248"/>
        <v>FCCS_No Intercompany</v>
      </c>
      <c r="M722" s="367" t="str">
        <f>+M$1</f>
        <v>No Custom1</v>
      </c>
      <c r="N722" s="367" t="str">
        <f t="shared" si="248"/>
        <v>No Custom2</v>
      </c>
      <c r="O722" s="367" t="s">
        <v>723</v>
      </c>
      <c r="P722" s="367" t="s">
        <v>720</v>
      </c>
      <c r="Q722" s="367" t="str">
        <f t="shared" si="180"/>
        <v>FCCS_ClosingBalance_Input</v>
      </c>
      <c r="R722" s="367" t="s">
        <v>169</v>
      </c>
      <c r="S722" s="367" t="s">
        <v>848</v>
      </c>
      <c r="T722" s="367" t="s">
        <v>850</v>
      </c>
    </row>
    <row r="723" spans="2:20" x14ac:dyDescent="0.3">
      <c r="B723" s="364" t="s">
        <v>668</v>
      </c>
      <c r="C723" s="364" t="s">
        <v>893</v>
      </c>
      <c r="D723" s="366" t="str">
        <f>[2]!HsSetValue(E723,"FCC","Scenario#"&amp;R723&amp;";Years#"&amp;J723&amp;";Period#"&amp;I723&amp;";View#"&amp;S723&amp;";Entity#"&amp;H723&amp;";Data Source#"&amp;K723&amp;";Account#"&amp;F723&amp;";Intercompany#"&amp;L723&amp;";Movement#"&amp;Q723&amp;";Consolidation#"&amp;T723&amp;";Custom1#"&amp;M723&amp;";Custom2#"&amp;N723&amp;";Custom3#"&amp;O723&amp;";Custom4#"&amp;P723&amp;"")</f>
        <v>#Invalid Syntax</v>
      </c>
      <c r="E723" s="366">
        <f>SUMIF('Investment Analysis'!$E$22:$E$69,'FCC Investments - Load Tab'!C723,'Investment Analysis'!$N$22:$N$69)</f>
        <v>0</v>
      </c>
      <c r="F723" s="367" t="s">
        <v>673</v>
      </c>
      <c r="G723" s="367" t="s">
        <v>965</v>
      </c>
      <c r="H723" s="368" t="e">
        <f t="shared" si="248"/>
        <v>#N/A</v>
      </c>
      <c r="I723" s="368" t="str">
        <f t="shared" si="248"/>
        <v>Jun</v>
      </c>
      <c r="J723" s="367" t="str">
        <f t="shared" si="248"/>
        <v>FY25</v>
      </c>
      <c r="K723" s="367" t="str">
        <f t="shared" si="248"/>
        <v>FCCS_Other Data</v>
      </c>
      <c r="L723" s="367" t="str">
        <f t="shared" si="248"/>
        <v>FCCS_No Intercompany</v>
      </c>
      <c r="M723" s="367" t="str">
        <f>+M$1</f>
        <v>No Custom1</v>
      </c>
      <c r="N723" s="367" t="str">
        <f t="shared" si="248"/>
        <v>No Custom2</v>
      </c>
      <c r="O723" s="367" t="s">
        <v>724</v>
      </c>
      <c r="P723" s="367" t="s">
        <v>720</v>
      </c>
      <c r="Q723" s="367" t="str">
        <f t="shared" si="180"/>
        <v>FCCS_ClosingBalance_Input</v>
      </c>
      <c r="R723" s="367" t="s">
        <v>169</v>
      </c>
      <c r="S723" s="367" t="s">
        <v>848</v>
      </c>
      <c r="T723" s="367" t="s">
        <v>850</v>
      </c>
    </row>
    <row r="724" spans="2:20" x14ac:dyDescent="0.3">
      <c r="B724" s="364" t="s">
        <v>668</v>
      </c>
      <c r="C724" s="364" t="s">
        <v>893</v>
      </c>
      <c r="D724" s="366" t="str">
        <f>[2]!HsSetValue(E724,"FCC","Scenario#"&amp;R724&amp;";Years#"&amp;J724&amp;";Period#"&amp;I724&amp;";View#"&amp;S724&amp;";Entity#"&amp;H724&amp;";Data Source#"&amp;K724&amp;";Account#"&amp;F724&amp;";Intercompany#"&amp;L724&amp;";Movement#"&amp;Q724&amp;";Consolidation#"&amp;T724&amp;";Custom1#"&amp;M724&amp;";Custom2#"&amp;N724&amp;";Custom3#"&amp;O724&amp;";Custom4#"&amp;P724&amp;"")</f>
        <v>#Invalid Syntax</v>
      </c>
      <c r="E724" s="366">
        <f>SUMIF('Investment Analysis'!$E$2:$E$69,'FCC Investments - Load Tab'!C724,'Investment Analysis'!$O$2:$O$69)</f>
        <v>0</v>
      </c>
      <c r="F724" s="367" t="s">
        <v>673</v>
      </c>
      <c r="G724" s="367" t="s">
        <v>965</v>
      </c>
      <c r="H724" s="368" t="e">
        <f t="shared" si="248"/>
        <v>#N/A</v>
      </c>
      <c r="I724" s="368" t="str">
        <f t="shared" si="248"/>
        <v>Jun</v>
      </c>
      <c r="J724" s="367" t="str">
        <f t="shared" si="248"/>
        <v>FY25</v>
      </c>
      <c r="K724" s="367" t="str">
        <f t="shared" si="248"/>
        <v>FCCS_Other Data</v>
      </c>
      <c r="L724" s="367" t="str">
        <f t="shared" si="248"/>
        <v>FCCS_No Intercompany</v>
      </c>
      <c r="M724" s="367" t="str">
        <f>+M$1</f>
        <v>No Custom1</v>
      </c>
      <c r="N724" s="367" t="str">
        <f t="shared" si="248"/>
        <v>No Custom2</v>
      </c>
      <c r="O724" s="367" t="s">
        <v>725</v>
      </c>
      <c r="P724" s="367" t="s">
        <v>720</v>
      </c>
      <c r="Q724" s="367" t="str">
        <f t="shared" si="180"/>
        <v>FCCS_ClosingBalance_Input</v>
      </c>
      <c r="R724" s="367" t="s">
        <v>169</v>
      </c>
      <c r="S724" s="367" t="s">
        <v>848</v>
      </c>
      <c r="T724" s="367" t="s">
        <v>850</v>
      </c>
    </row>
    <row r="725" spans="2:20" x14ac:dyDescent="0.3">
      <c r="B725" s="210"/>
      <c r="C725" s="210"/>
      <c r="D725" s="212"/>
      <c r="E725" s="212"/>
    </row>
    <row r="726" spans="2:20" x14ac:dyDescent="0.3">
      <c r="B726" s="214" t="s">
        <v>667</v>
      </c>
      <c r="C726" s="214" t="s">
        <v>893</v>
      </c>
      <c r="D726" s="216" t="str">
        <f>[2]!HsSetValue(E726,"FCC","Scenario#"&amp;R726&amp;";Years#"&amp;J726&amp;";Period#"&amp;I726&amp;";View#"&amp;S726&amp;";Entity#"&amp;H726&amp;";Data Source#"&amp;K726&amp;";Account#"&amp;F726&amp;";Intercompany#"&amp;L726&amp;";Movement#"&amp;Q726&amp;";Consolidation#"&amp;T726&amp;";Custom1#"&amp;M726&amp;";Custom2#"&amp;N726&amp;";Custom3#"&amp;O726&amp;";Custom4#"&amp;P726&amp;"")</f>
        <v>#Invalid Syntax</v>
      </c>
      <c r="E726" s="216">
        <f>SUMIFS('Investment Analysis'!$H$22:$H$69,'Investment Analysis'!$E$22:$E$69,"Strategic Income Opportunities Funds",'Investment Analysis'!$AB$22:$AB$69,"10")</f>
        <v>0</v>
      </c>
      <c r="F726" s="217" t="s">
        <v>674</v>
      </c>
      <c r="G726" s="217" t="s">
        <v>1065</v>
      </c>
      <c r="H726" s="218" t="e">
        <f t="shared" ref="H726:N739" si="249">+H$2</f>
        <v>#N/A</v>
      </c>
      <c r="I726" s="218" t="str">
        <f t="shared" si="249"/>
        <v>Jun</v>
      </c>
      <c r="J726" s="217" t="str">
        <f t="shared" si="249"/>
        <v>FY25</v>
      </c>
      <c r="K726" s="217" t="str">
        <f t="shared" si="249"/>
        <v>FCCS_Other Data</v>
      </c>
      <c r="L726" s="217" t="str">
        <f t="shared" si="249"/>
        <v>FCCS_No Intercompany</v>
      </c>
      <c r="M726" s="217" t="str">
        <f t="shared" ref="M726:M739" si="250">+M$1</f>
        <v>No Custom1</v>
      </c>
      <c r="N726" s="217" t="str">
        <f t="shared" si="249"/>
        <v>No Custom2</v>
      </c>
      <c r="O726" s="217" t="s">
        <v>433</v>
      </c>
      <c r="P726" s="217" t="s">
        <v>720</v>
      </c>
      <c r="Q726" s="217" t="str">
        <f t="shared" si="180"/>
        <v>FCCS_ClosingBalance_Input</v>
      </c>
      <c r="R726" s="217" t="s">
        <v>169</v>
      </c>
      <c r="S726" s="217" t="s">
        <v>848</v>
      </c>
      <c r="T726" s="217" t="s">
        <v>850</v>
      </c>
    </row>
    <row r="727" spans="2:20" x14ac:dyDescent="0.3">
      <c r="B727" s="214" t="s">
        <v>667</v>
      </c>
      <c r="C727" s="214" t="s">
        <v>893</v>
      </c>
      <c r="D727" s="216" t="str">
        <f>[2]!HsSetValue(E727,"FCC","Scenario#"&amp;R727&amp;";Years#"&amp;J727&amp;";Period#"&amp;I727&amp;";View#"&amp;S727&amp;";Entity#"&amp;H727&amp;";Data Source#"&amp;K727&amp;";Account#"&amp;F727&amp;";Intercompany#"&amp;L727&amp;";Movement#"&amp;Q727&amp;";Consolidation#"&amp;T727&amp;";Custom1#"&amp;M727&amp;";Custom2#"&amp;N727&amp;";Custom3#"&amp;O727&amp;";Custom4#"&amp;P727&amp;"")</f>
        <v>#Invalid Syntax</v>
      </c>
      <c r="E727" s="216">
        <f>SUMIFS('Investment Analysis'!$H$22:$H$69,'Investment Analysis'!$E$22:$E$69,"Strategic Income Opportunities Funds",'Investment Analysis'!$AB$22:$AB$69,"9")</f>
        <v>0</v>
      </c>
      <c r="F727" s="217" t="s">
        <v>674</v>
      </c>
      <c r="G727" s="217" t="s">
        <v>1065</v>
      </c>
      <c r="H727" s="218" t="e">
        <f t="shared" si="249"/>
        <v>#N/A</v>
      </c>
      <c r="I727" s="218" t="str">
        <f t="shared" si="249"/>
        <v>Jun</v>
      </c>
      <c r="J727" s="217" t="str">
        <f t="shared" si="249"/>
        <v>FY25</v>
      </c>
      <c r="K727" s="217" t="str">
        <f t="shared" si="249"/>
        <v>FCCS_Other Data</v>
      </c>
      <c r="L727" s="217" t="str">
        <f t="shared" si="249"/>
        <v>FCCS_No Intercompany</v>
      </c>
      <c r="M727" s="217" t="str">
        <f t="shared" si="250"/>
        <v>No Custom1</v>
      </c>
      <c r="N727" s="217" t="str">
        <f t="shared" si="249"/>
        <v>No Custom2</v>
      </c>
      <c r="O727" s="217" t="s">
        <v>596</v>
      </c>
      <c r="P727" s="217" t="s">
        <v>720</v>
      </c>
      <c r="Q727" s="217" t="str">
        <f t="shared" si="180"/>
        <v>FCCS_ClosingBalance_Input</v>
      </c>
      <c r="R727" s="217" t="s">
        <v>169</v>
      </c>
      <c r="S727" s="217" t="s">
        <v>848</v>
      </c>
      <c r="T727" s="217" t="s">
        <v>850</v>
      </c>
    </row>
    <row r="728" spans="2:20" x14ac:dyDescent="0.3">
      <c r="B728" s="214" t="s">
        <v>667</v>
      </c>
      <c r="C728" s="214" t="s">
        <v>893</v>
      </c>
      <c r="D728" s="216" t="str">
        <f>[2]!HsSetValue(E728,"FCC","Scenario#"&amp;R728&amp;";Years#"&amp;J728&amp;";Period#"&amp;I728&amp;";View#"&amp;S728&amp;";Entity#"&amp;H728&amp;";Data Source#"&amp;K728&amp;";Account#"&amp;F728&amp;";Intercompany#"&amp;L728&amp;";Movement#"&amp;Q728&amp;";Consolidation#"&amp;T728&amp;";Custom1#"&amp;M728&amp;";Custom2#"&amp;N728&amp;";Custom3#"&amp;O728&amp;";Custom4#"&amp;P728&amp;"")</f>
        <v>#Invalid Syntax</v>
      </c>
      <c r="E728" s="216">
        <f>SUMIFS('Investment Analysis'!$H$22:$H$69,'Investment Analysis'!$E$22:$E$69,"Strategic Income Opportunities Funds",'Investment Analysis'!$AB$22:$AB$69,"8")</f>
        <v>0</v>
      </c>
      <c r="F728" s="217" t="s">
        <v>674</v>
      </c>
      <c r="G728" s="217" t="s">
        <v>1065</v>
      </c>
      <c r="H728" s="218" t="e">
        <f t="shared" si="249"/>
        <v>#N/A</v>
      </c>
      <c r="I728" s="218" t="str">
        <f t="shared" si="249"/>
        <v>Jun</v>
      </c>
      <c r="J728" s="217" t="str">
        <f t="shared" si="249"/>
        <v>FY25</v>
      </c>
      <c r="K728" s="217" t="str">
        <f t="shared" si="249"/>
        <v>FCCS_Other Data</v>
      </c>
      <c r="L728" s="217" t="str">
        <f t="shared" si="249"/>
        <v>FCCS_No Intercompany</v>
      </c>
      <c r="M728" s="217" t="str">
        <f t="shared" si="250"/>
        <v>No Custom1</v>
      </c>
      <c r="N728" s="217" t="str">
        <f t="shared" si="249"/>
        <v>No Custom2</v>
      </c>
      <c r="O728" s="217" t="s">
        <v>61</v>
      </c>
      <c r="P728" s="217" t="s">
        <v>720</v>
      </c>
      <c r="Q728" s="217" t="str">
        <f t="shared" si="180"/>
        <v>FCCS_ClosingBalance_Input</v>
      </c>
      <c r="R728" s="217" t="s">
        <v>169</v>
      </c>
      <c r="S728" s="217" t="s">
        <v>848</v>
      </c>
      <c r="T728" s="217" t="s">
        <v>850</v>
      </c>
    </row>
    <row r="729" spans="2:20" x14ac:dyDescent="0.3">
      <c r="B729" s="214" t="s">
        <v>667</v>
      </c>
      <c r="C729" s="214" t="s">
        <v>893</v>
      </c>
      <c r="D729" s="216" t="str">
        <f>[2]!HsSetValue(E729,"FCC","Scenario#"&amp;R729&amp;";Years#"&amp;J729&amp;";Period#"&amp;I729&amp;";View#"&amp;S729&amp;";Entity#"&amp;H729&amp;";Data Source#"&amp;K729&amp;";Account#"&amp;F729&amp;";Intercompany#"&amp;L729&amp;";Movement#"&amp;Q729&amp;";Consolidation#"&amp;T729&amp;";Custom1#"&amp;M729&amp;";Custom2#"&amp;N729&amp;";Custom3#"&amp;O729&amp;";Custom4#"&amp;P729&amp;"")</f>
        <v>#Invalid Syntax</v>
      </c>
      <c r="E729" s="216">
        <f>SUMIFS('Investment Analysis'!$H$22:$H$69,'Investment Analysis'!$E$22:$E$69,"Strategic Income Opportunities Funds",'Investment Analysis'!$AB$22:$AB$69,"7")</f>
        <v>0</v>
      </c>
      <c r="F729" s="217" t="s">
        <v>674</v>
      </c>
      <c r="G729" s="217" t="s">
        <v>1065</v>
      </c>
      <c r="H729" s="218" t="e">
        <f t="shared" si="249"/>
        <v>#N/A</v>
      </c>
      <c r="I729" s="218" t="str">
        <f t="shared" si="249"/>
        <v>Jun</v>
      </c>
      <c r="J729" s="217" t="str">
        <f t="shared" si="249"/>
        <v>FY25</v>
      </c>
      <c r="K729" s="217" t="str">
        <f t="shared" si="249"/>
        <v>FCCS_Other Data</v>
      </c>
      <c r="L729" s="217" t="str">
        <f t="shared" si="249"/>
        <v>FCCS_No Intercompany</v>
      </c>
      <c r="M729" s="217" t="str">
        <f t="shared" si="250"/>
        <v>No Custom1</v>
      </c>
      <c r="N729" s="217" t="str">
        <f t="shared" si="249"/>
        <v>No Custom2</v>
      </c>
      <c r="O729" s="217" t="s">
        <v>62</v>
      </c>
      <c r="P729" s="217" t="s">
        <v>720</v>
      </c>
      <c r="Q729" s="217" t="str">
        <f t="shared" si="180"/>
        <v>FCCS_ClosingBalance_Input</v>
      </c>
      <c r="R729" s="217" t="s">
        <v>169</v>
      </c>
      <c r="S729" s="217" t="s">
        <v>848</v>
      </c>
      <c r="T729" s="217" t="s">
        <v>850</v>
      </c>
    </row>
    <row r="730" spans="2:20" x14ac:dyDescent="0.3">
      <c r="B730" s="214" t="s">
        <v>667</v>
      </c>
      <c r="C730" s="214" t="s">
        <v>893</v>
      </c>
      <c r="D730" s="216" t="str">
        <f>[2]!HsSetValue(E730,"FCC","Scenario#"&amp;R730&amp;";Years#"&amp;J730&amp;";Period#"&amp;I730&amp;";View#"&amp;S730&amp;";Entity#"&amp;H730&amp;";Data Source#"&amp;K730&amp;";Account#"&amp;F730&amp;";Intercompany#"&amp;L730&amp;";Movement#"&amp;Q730&amp;";Consolidation#"&amp;T730&amp;";Custom1#"&amp;M730&amp;";Custom2#"&amp;N730&amp;";Custom3#"&amp;O730&amp;";Custom4#"&amp;P730&amp;"")</f>
        <v>#Invalid Syntax</v>
      </c>
      <c r="E730" s="216">
        <f>SUMIFS('Investment Analysis'!$H$22:$H$69,'Investment Analysis'!$E$22:$E$69,"Strategic Income Opportunities Funds",'Investment Analysis'!$AB$22:$AB$69,"6")</f>
        <v>0</v>
      </c>
      <c r="F730" s="217" t="s">
        <v>674</v>
      </c>
      <c r="G730" s="217" t="s">
        <v>1065</v>
      </c>
      <c r="H730" s="218" t="e">
        <f t="shared" si="249"/>
        <v>#N/A</v>
      </c>
      <c r="I730" s="218" t="str">
        <f t="shared" si="249"/>
        <v>Jun</v>
      </c>
      <c r="J730" s="217" t="str">
        <f t="shared" si="249"/>
        <v>FY25</v>
      </c>
      <c r="K730" s="217" t="str">
        <f t="shared" si="249"/>
        <v>FCCS_Other Data</v>
      </c>
      <c r="L730" s="217" t="str">
        <f t="shared" si="249"/>
        <v>FCCS_No Intercompany</v>
      </c>
      <c r="M730" s="217" t="str">
        <f t="shared" si="250"/>
        <v>No Custom1</v>
      </c>
      <c r="N730" s="217" t="str">
        <f t="shared" si="249"/>
        <v>No Custom2</v>
      </c>
      <c r="O730" s="217" t="s">
        <v>436</v>
      </c>
      <c r="P730" s="217" t="s">
        <v>720</v>
      </c>
      <c r="Q730" s="217" t="str">
        <f t="shared" si="180"/>
        <v>FCCS_ClosingBalance_Input</v>
      </c>
      <c r="R730" s="217" t="s">
        <v>169</v>
      </c>
      <c r="S730" s="217" t="s">
        <v>848</v>
      </c>
      <c r="T730" s="217" t="s">
        <v>850</v>
      </c>
    </row>
    <row r="731" spans="2:20" s="371" customFormat="1" x14ac:dyDescent="0.3">
      <c r="B731" s="214" t="s">
        <v>667</v>
      </c>
      <c r="C731" s="214" t="s">
        <v>893</v>
      </c>
      <c r="D731" s="216" t="str">
        <f>[2]!HsSetValue(E731,"FCC","Scenario#"&amp;R731&amp;";Years#"&amp;J731&amp;";Period#"&amp;I731&amp;";View#"&amp;S731&amp;";Entity#"&amp;H731&amp;";Data Source#"&amp;K731&amp;";Account#"&amp;F731&amp;";Intercompany#"&amp;L731&amp;";Movement#"&amp;Q731&amp;";Consolidation#"&amp;T731&amp;";Custom1#"&amp;M731&amp;";Custom2#"&amp;N731&amp;";Custom3#"&amp;O731&amp;";Custom4#"&amp;P731&amp;"")</f>
        <v>#Invalid Syntax</v>
      </c>
      <c r="E731" s="216">
        <f>SUMIFS('Investment Analysis'!$H$22:$H$69,'Investment Analysis'!$E$22:$E$69,"Strategic Income Opportunities Funds",'Investment Analysis'!$AB$22:$AB$69,"5")</f>
        <v>0</v>
      </c>
      <c r="F731" s="217" t="s">
        <v>674</v>
      </c>
      <c r="G731" s="217" t="s">
        <v>1065</v>
      </c>
      <c r="H731" s="218" t="e">
        <f t="shared" si="249"/>
        <v>#N/A</v>
      </c>
      <c r="I731" s="218" t="str">
        <f t="shared" si="249"/>
        <v>Jun</v>
      </c>
      <c r="J731" s="217" t="str">
        <f t="shared" si="249"/>
        <v>FY25</v>
      </c>
      <c r="K731" s="217" t="str">
        <f t="shared" si="249"/>
        <v>FCCS_Other Data</v>
      </c>
      <c r="L731" s="217" t="str">
        <f t="shared" si="249"/>
        <v>FCCS_No Intercompany</v>
      </c>
      <c r="M731" s="217" t="str">
        <f t="shared" si="250"/>
        <v>No Custom1</v>
      </c>
      <c r="N731" s="217" t="str">
        <f t="shared" si="249"/>
        <v>No Custom2</v>
      </c>
      <c r="O731" s="217" t="s">
        <v>434</v>
      </c>
      <c r="P731" s="217" t="s">
        <v>720</v>
      </c>
      <c r="Q731" s="217" t="str">
        <f t="shared" si="180"/>
        <v>FCCS_ClosingBalance_Input</v>
      </c>
      <c r="R731" s="217" t="str">
        <f t="shared" ref="R731:S735" si="251">+R$2</f>
        <v>Actual</v>
      </c>
      <c r="S731" s="217" t="str">
        <f t="shared" si="251"/>
        <v>FCCS_YTD_Input</v>
      </c>
      <c r="T731" s="217" t="s">
        <v>850</v>
      </c>
    </row>
    <row r="732" spans="2:20" s="371" customFormat="1" x14ac:dyDescent="0.3">
      <c r="B732" s="214" t="s">
        <v>667</v>
      </c>
      <c r="C732" s="214" t="s">
        <v>893</v>
      </c>
      <c r="D732" s="216" t="str">
        <f>[2]!HsSetValue(E732,"FCC","Scenario#"&amp;R732&amp;";Years#"&amp;J732&amp;";Period#"&amp;I732&amp;";View#"&amp;S732&amp;";Entity#"&amp;H732&amp;";Data Source#"&amp;K732&amp;";Account#"&amp;F732&amp;";Intercompany#"&amp;L732&amp;";Movement#"&amp;Q732&amp;";Consolidation#"&amp;T732&amp;";Custom1#"&amp;M732&amp;";Custom2#"&amp;N732&amp;";Custom3#"&amp;O732&amp;";Custom4#"&amp;P732&amp;"")</f>
        <v>#Invalid Syntax</v>
      </c>
      <c r="E732" s="216">
        <f>SUMIFS('Investment Analysis'!$H$22:$H$69,'Investment Analysis'!$E$22:$E$69,"Strategic Income Opportunities Funds",'Investment Analysis'!$AB$22:$AB$69,"4")</f>
        <v>0</v>
      </c>
      <c r="F732" s="217" t="s">
        <v>674</v>
      </c>
      <c r="G732" s="217" t="s">
        <v>1065</v>
      </c>
      <c r="H732" s="218" t="e">
        <f t="shared" si="249"/>
        <v>#N/A</v>
      </c>
      <c r="I732" s="218" t="str">
        <f t="shared" si="249"/>
        <v>Jun</v>
      </c>
      <c r="J732" s="217" t="str">
        <f t="shared" si="249"/>
        <v>FY25</v>
      </c>
      <c r="K732" s="217" t="str">
        <f t="shared" si="249"/>
        <v>FCCS_Other Data</v>
      </c>
      <c r="L732" s="217" t="str">
        <f t="shared" si="249"/>
        <v>FCCS_No Intercompany</v>
      </c>
      <c r="M732" s="217" t="str">
        <f t="shared" si="250"/>
        <v>No Custom1</v>
      </c>
      <c r="N732" s="217" t="str">
        <f t="shared" si="249"/>
        <v>No Custom2</v>
      </c>
      <c r="O732" s="217" t="s">
        <v>63</v>
      </c>
      <c r="P732" s="217" t="s">
        <v>720</v>
      </c>
      <c r="Q732" s="217" t="str">
        <f t="shared" si="180"/>
        <v>FCCS_ClosingBalance_Input</v>
      </c>
      <c r="R732" s="217" t="str">
        <f t="shared" si="251"/>
        <v>Actual</v>
      </c>
      <c r="S732" s="217" t="str">
        <f t="shared" si="251"/>
        <v>FCCS_YTD_Input</v>
      </c>
      <c r="T732" s="217" t="s">
        <v>850</v>
      </c>
    </row>
    <row r="733" spans="2:20" s="371" customFormat="1" x14ac:dyDescent="0.3">
      <c r="B733" s="214" t="s">
        <v>667</v>
      </c>
      <c r="C733" s="214" t="s">
        <v>893</v>
      </c>
      <c r="D733" s="216" t="str">
        <f>[2]!HsSetValue(E733,"FCC","Scenario#"&amp;R733&amp;";Years#"&amp;J733&amp;";Period#"&amp;I733&amp;";View#"&amp;S733&amp;";Entity#"&amp;H733&amp;";Data Source#"&amp;K733&amp;";Account#"&amp;F733&amp;";Intercompany#"&amp;L733&amp;";Movement#"&amp;Q733&amp;";Consolidation#"&amp;T733&amp;";Custom1#"&amp;M733&amp;";Custom2#"&amp;N733&amp;";Custom3#"&amp;O733&amp;";Custom4#"&amp;P733&amp;"")</f>
        <v>#Invalid Syntax</v>
      </c>
      <c r="E733" s="216">
        <f>SUMIFS('Investment Analysis'!$H$22:$H$69,'Investment Analysis'!$E$22:$E$69,"Strategic Income Opportunities Funds",'Investment Analysis'!$AB$22:$AB$69,"3")</f>
        <v>0</v>
      </c>
      <c r="F733" s="217" t="s">
        <v>674</v>
      </c>
      <c r="G733" s="217" t="s">
        <v>1065</v>
      </c>
      <c r="H733" s="218" t="e">
        <f t="shared" si="249"/>
        <v>#N/A</v>
      </c>
      <c r="I733" s="218" t="str">
        <f t="shared" si="249"/>
        <v>Jun</v>
      </c>
      <c r="J733" s="217" t="str">
        <f t="shared" si="249"/>
        <v>FY25</v>
      </c>
      <c r="K733" s="217" t="str">
        <f t="shared" si="249"/>
        <v>FCCS_Other Data</v>
      </c>
      <c r="L733" s="217" t="str">
        <f t="shared" si="249"/>
        <v>FCCS_No Intercompany</v>
      </c>
      <c r="M733" s="217" t="str">
        <f t="shared" si="250"/>
        <v>No Custom1</v>
      </c>
      <c r="N733" s="217" t="str">
        <f t="shared" si="249"/>
        <v>No Custom2</v>
      </c>
      <c r="O733" s="217" t="s">
        <v>622</v>
      </c>
      <c r="P733" s="217" t="s">
        <v>720</v>
      </c>
      <c r="Q733" s="217" t="str">
        <f t="shared" si="180"/>
        <v>FCCS_ClosingBalance_Input</v>
      </c>
      <c r="R733" s="217" t="str">
        <f t="shared" si="251"/>
        <v>Actual</v>
      </c>
      <c r="S733" s="217" t="str">
        <f t="shared" si="251"/>
        <v>FCCS_YTD_Input</v>
      </c>
      <c r="T733" s="217" t="s">
        <v>850</v>
      </c>
    </row>
    <row r="734" spans="2:20" s="371" customFormat="1" x14ac:dyDescent="0.3">
      <c r="B734" s="214" t="s">
        <v>667</v>
      </c>
      <c r="C734" s="214" t="s">
        <v>893</v>
      </c>
      <c r="D734" s="216" t="str">
        <f>[2]!HsSetValue(E734,"FCC","Scenario#"&amp;R734&amp;";Years#"&amp;J734&amp;";Period#"&amp;I734&amp;";View#"&amp;S734&amp;";Entity#"&amp;H734&amp;";Data Source#"&amp;K734&amp;";Account#"&amp;F734&amp;";Intercompany#"&amp;L734&amp;";Movement#"&amp;Q734&amp;";Consolidation#"&amp;T734&amp;";Custom1#"&amp;M734&amp;";Custom2#"&amp;N734&amp;";Custom3#"&amp;O734&amp;";Custom4#"&amp;P734&amp;"")</f>
        <v>#Invalid Syntax</v>
      </c>
      <c r="E734" s="216">
        <f>SUMIFS('Investment Analysis'!$H$22:$H$69,'Investment Analysis'!$E$22:$E$69,"Strategic Income Opportunities Funds",'Investment Analysis'!$AB$22:$AB$69,"2")</f>
        <v>0</v>
      </c>
      <c r="F734" s="217" t="s">
        <v>674</v>
      </c>
      <c r="G734" s="217" t="s">
        <v>1065</v>
      </c>
      <c r="H734" s="218" t="e">
        <f t="shared" si="249"/>
        <v>#N/A</v>
      </c>
      <c r="I734" s="218" t="str">
        <f t="shared" si="249"/>
        <v>Jun</v>
      </c>
      <c r="J734" s="217" t="str">
        <f t="shared" si="249"/>
        <v>FY25</v>
      </c>
      <c r="K734" s="217" t="str">
        <f t="shared" si="249"/>
        <v>FCCS_Other Data</v>
      </c>
      <c r="L734" s="217" t="str">
        <f t="shared" si="249"/>
        <v>FCCS_No Intercompany</v>
      </c>
      <c r="M734" s="217" t="str">
        <f t="shared" si="250"/>
        <v>No Custom1</v>
      </c>
      <c r="N734" s="217" t="str">
        <f t="shared" si="249"/>
        <v>No Custom2</v>
      </c>
      <c r="O734" s="217" t="s">
        <v>618</v>
      </c>
      <c r="P734" s="217" t="s">
        <v>720</v>
      </c>
      <c r="Q734" s="217" t="str">
        <f t="shared" si="180"/>
        <v>FCCS_ClosingBalance_Input</v>
      </c>
      <c r="R734" s="217" t="str">
        <f t="shared" si="251"/>
        <v>Actual</v>
      </c>
      <c r="S734" s="217" t="str">
        <f t="shared" si="251"/>
        <v>FCCS_YTD_Input</v>
      </c>
      <c r="T734" s="217" t="s">
        <v>850</v>
      </c>
    </row>
    <row r="735" spans="2:20" s="371" customFormat="1" x14ac:dyDescent="0.3">
      <c r="B735" s="214" t="s">
        <v>667</v>
      </c>
      <c r="C735" s="214" t="s">
        <v>893</v>
      </c>
      <c r="D735" s="216" t="str">
        <f>[2]!HsSetValue(E735,"FCC","Scenario#"&amp;R735&amp;";Years#"&amp;J735&amp;";Period#"&amp;I735&amp;";View#"&amp;S735&amp;";Entity#"&amp;H735&amp;";Data Source#"&amp;K735&amp;";Account#"&amp;F735&amp;";Intercompany#"&amp;L735&amp;";Movement#"&amp;Q735&amp;";Consolidation#"&amp;T735&amp;";Custom1#"&amp;M735&amp;";Custom2#"&amp;N735&amp;";Custom3#"&amp;O735&amp;";Custom4#"&amp;P735&amp;"")</f>
        <v>#Invalid Syntax</v>
      </c>
      <c r="E735" s="216">
        <f>SUMIFS('Investment Analysis'!$H$22:$H$69,'Investment Analysis'!$E$22:$E$69,"Strategic Income Opportunities Funds",'Investment Analysis'!$AB$22:$AB$69,"1")</f>
        <v>0</v>
      </c>
      <c r="F735" s="217" t="s">
        <v>674</v>
      </c>
      <c r="G735" s="217" t="s">
        <v>1065</v>
      </c>
      <c r="H735" s="218" t="e">
        <f t="shared" si="249"/>
        <v>#N/A</v>
      </c>
      <c r="I735" s="218" t="str">
        <f t="shared" si="249"/>
        <v>Jun</v>
      </c>
      <c r="J735" s="217" t="str">
        <f t="shared" si="249"/>
        <v>FY25</v>
      </c>
      <c r="K735" s="217" t="str">
        <f t="shared" si="249"/>
        <v>FCCS_Other Data</v>
      </c>
      <c r="L735" s="217" t="str">
        <f t="shared" si="249"/>
        <v>FCCS_No Intercompany</v>
      </c>
      <c r="M735" s="217" t="str">
        <f t="shared" si="250"/>
        <v>No Custom1</v>
      </c>
      <c r="N735" s="217" t="str">
        <f t="shared" si="249"/>
        <v>No Custom2</v>
      </c>
      <c r="O735" s="217" t="s">
        <v>64</v>
      </c>
      <c r="P735" s="217" t="s">
        <v>720</v>
      </c>
      <c r="Q735" s="217" t="str">
        <f t="shared" si="180"/>
        <v>FCCS_ClosingBalance_Input</v>
      </c>
      <c r="R735" s="217" t="str">
        <f t="shared" si="251"/>
        <v>Actual</v>
      </c>
      <c r="S735" s="217" t="str">
        <f t="shared" si="251"/>
        <v>FCCS_YTD_Input</v>
      </c>
      <c r="T735" s="217" t="s">
        <v>850</v>
      </c>
    </row>
    <row r="736" spans="2:20" x14ac:dyDescent="0.3">
      <c r="B736" s="214" t="s">
        <v>667</v>
      </c>
      <c r="C736" s="214" t="s">
        <v>893</v>
      </c>
      <c r="D736" s="216" t="str">
        <f>[2]!HsSetValue(E736,"FCC","Scenario#"&amp;R736&amp;";Years#"&amp;J736&amp;";Period#"&amp;I736&amp;";View#"&amp;S736&amp;";Entity#"&amp;H736&amp;";Data Source#"&amp;K736&amp;";Account#"&amp;F736&amp;";Intercompany#"&amp;L736&amp;";Movement#"&amp;Q736&amp;";Consolidation#"&amp;T736&amp;";Custom1#"&amp;M736&amp;";Custom2#"&amp;N736&amp;";Custom3#"&amp;O736&amp;";Custom4#"&amp;P736&amp;"")</f>
        <v>#Invalid Syntax</v>
      </c>
      <c r="E736" s="216">
        <f>SUMIFS('Investment Analysis'!$H$22:$H$69,'Investment Analysis'!$E$22:$E$69,"Strategic Income Opportunities Funds",'Investment Analysis'!$AI$22:$AI$69,"16")</f>
        <v>0</v>
      </c>
      <c r="F736" s="217" t="s">
        <v>674</v>
      </c>
      <c r="G736" s="217" t="s">
        <v>1065</v>
      </c>
      <c r="H736" s="218" t="e">
        <f t="shared" si="249"/>
        <v>#N/A</v>
      </c>
      <c r="I736" s="218" t="str">
        <f t="shared" si="249"/>
        <v>Jun</v>
      </c>
      <c r="J736" s="217" t="str">
        <f t="shared" si="249"/>
        <v>FY25</v>
      </c>
      <c r="K736" s="217" t="str">
        <f t="shared" si="249"/>
        <v>FCCS_Other Data</v>
      </c>
      <c r="L736" s="217" t="str">
        <f t="shared" si="249"/>
        <v>FCCS_No Intercompany</v>
      </c>
      <c r="M736" s="217" t="str">
        <f t="shared" si="250"/>
        <v>No Custom1</v>
      </c>
      <c r="N736" s="217" t="str">
        <f t="shared" si="249"/>
        <v>No Custom2</v>
      </c>
      <c r="O736" s="217" t="s">
        <v>726</v>
      </c>
      <c r="P736" s="217" t="s">
        <v>720</v>
      </c>
      <c r="Q736" s="217" t="str">
        <f t="shared" ref="Q736:Q751" si="252">Q$2</f>
        <v>FCCS_ClosingBalance_Input</v>
      </c>
      <c r="R736" s="217" t="s">
        <v>169</v>
      </c>
      <c r="S736" s="217" t="s">
        <v>848</v>
      </c>
      <c r="T736" s="217" t="s">
        <v>850</v>
      </c>
    </row>
    <row r="737" spans="2:20" x14ac:dyDescent="0.3">
      <c r="B737" s="214" t="s">
        <v>667</v>
      </c>
      <c r="C737" s="214" t="s">
        <v>893</v>
      </c>
      <c r="D737" s="216" t="str">
        <f>[2]!HsSetValue(E737,"FCC","Scenario#"&amp;R737&amp;";Years#"&amp;J737&amp;";Period#"&amp;I737&amp;";View#"&amp;S737&amp;";Entity#"&amp;H737&amp;";Data Source#"&amp;K737&amp;";Account#"&amp;F737&amp;";Intercompany#"&amp;L737&amp;";Movement#"&amp;Q737&amp;";Consolidation#"&amp;T737&amp;";Custom1#"&amp;M737&amp;";Custom2#"&amp;N737&amp;";Custom3#"&amp;O737&amp;";Custom4#"&amp;P737&amp;"")</f>
        <v>#Invalid Syntax</v>
      </c>
      <c r="E737" s="216">
        <f>SUMIFS('Investment Analysis'!$H$22:$H$69,'Investment Analysis'!$E$22:$E$69,"Strategic Income Opportunities Funds",'Investment Analysis'!$AI$22:$AI$69,"15")</f>
        <v>0</v>
      </c>
      <c r="F737" s="217" t="s">
        <v>674</v>
      </c>
      <c r="G737" s="217" t="s">
        <v>1065</v>
      </c>
      <c r="H737" s="218" t="e">
        <f t="shared" si="249"/>
        <v>#N/A</v>
      </c>
      <c r="I737" s="218" t="str">
        <f t="shared" si="249"/>
        <v>Jun</v>
      </c>
      <c r="J737" s="217" t="str">
        <f t="shared" si="249"/>
        <v>FY25</v>
      </c>
      <c r="K737" s="217" t="str">
        <f t="shared" si="249"/>
        <v>FCCS_Other Data</v>
      </c>
      <c r="L737" s="217" t="str">
        <f t="shared" si="249"/>
        <v>FCCS_No Intercompany</v>
      </c>
      <c r="M737" s="217" t="str">
        <f t="shared" si="250"/>
        <v>No Custom1</v>
      </c>
      <c r="N737" s="217" t="str">
        <f t="shared" si="249"/>
        <v>No Custom2</v>
      </c>
      <c r="O737" s="217" t="s">
        <v>727</v>
      </c>
      <c r="P737" s="217" t="s">
        <v>720</v>
      </c>
      <c r="Q737" s="217" t="str">
        <f t="shared" si="252"/>
        <v>FCCS_ClosingBalance_Input</v>
      </c>
      <c r="R737" s="217" t="s">
        <v>169</v>
      </c>
      <c r="S737" s="217" t="s">
        <v>848</v>
      </c>
      <c r="T737" s="217" t="s">
        <v>850</v>
      </c>
    </row>
    <row r="738" spans="2:20" x14ac:dyDescent="0.3">
      <c r="B738" s="214" t="s">
        <v>667</v>
      </c>
      <c r="C738" s="214" t="s">
        <v>893</v>
      </c>
      <c r="D738" s="216" t="str">
        <f>[2]!HsSetValue(E738,"FCC","Scenario#"&amp;R738&amp;";Years#"&amp;J738&amp;";Period#"&amp;I738&amp;";View#"&amp;S738&amp;";Entity#"&amp;H738&amp;";Data Source#"&amp;K738&amp;";Account#"&amp;F738&amp;";Intercompany#"&amp;L738&amp;";Movement#"&amp;Q738&amp;";Consolidation#"&amp;T738&amp;";Custom1#"&amp;M738&amp;";Custom2#"&amp;N738&amp;";Custom3#"&amp;O738&amp;";Custom4#"&amp;P738&amp;"")</f>
        <v>#Invalid Syntax</v>
      </c>
      <c r="E738" s="216">
        <f>SUMIFS('Investment Analysis'!$H$22:$H$69,'Investment Analysis'!$E$22:$E$69,"Strategic Income Opportunities Funds",'Investment Analysis'!$AI$22:$AI$69,"14")</f>
        <v>0</v>
      </c>
      <c r="F738" s="217" t="s">
        <v>674</v>
      </c>
      <c r="G738" s="217" t="s">
        <v>1065</v>
      </c>
      <c r="H738" s="218" t="e">
        <f t="shared" si="249"/>
        <v>#N/A</v>
      </c>
      <c r="I738" s="218" t="str">
        <f t="shared" si="249"/>
        <v>Jun</v>
      </c>
      <c r="J738" s="217" t="str">
        <f t="shared" si="249"/>
        <v>FY25</v>
      </c>
      <c r="K738" s="217" t="str">
        <f t="shared" si="249"/>
        <v>FCCS_Other Data</v>
      </c>
      <c r="L738" s="217" t="str">
        <f t="shared" si="249"/>
        <v>FCCS_No Intercompany</v>
      </c>
      <c r="M738" s="217" t="str">
        <f t="shared" si="250"/>
        <v>No Custom1</v>
      </c>
      <c r="N738" s="217" t="str">
        <f t="shared" si="249"/>
        <v>No Custom2</v>
      </c>
      <c r="O738" s="217" t="s">
        <v>728</v>
      </c>
      <c r="P738" s="217" t="s">
        <v>720</v>
      </c>
      <c r="Q738" s="217" t="str">
        <f t="shared" si="252"/>
        <v>FCCS_ClosingBalance_Input</v>
      </c>
      <c r="R738" s="217" t="s">
        <v>169</v>
      </c>
      <c r="S738" s="217" t="s">
        <v>848</v>
      </c>
      <c r="T738" s="217" t="s">
        <v>850</v>
      </c>
    </row>
    <row r="739" spans="2:20" x14ac:dyDescent="0.3">
      <c r="B739" s="214" t="s">
        <v>667</v>
      </c>
      <c r="C739" s="214" t="s">
        <v>893</v>
      </c>
      <c r="D739" s="216" t="str">
        <f>[2]!HsSetValue(E739,"FCC","Scenario#"&amp;R739&amp;";Years#"&amp;J739&amp;";Period#"&amp;I739&amp;";View#"&amp;S739&amp;";Entity#"&amp;H739&amp;";Data Source#"&amp;K739&amp;";Account#"&amp;F739&amp;";Intercompany#"&amp;L739&amp;";Movement#"&amp;Q739&amp;";Consolidation#"&amp;T739&amp;";Custom1#"&amp;M739&amp;";Custom2#"&amp;N739&amp;";Custom3#"&amp;O739&amp;";Custom4#"&amp;P739&amp;"")</f>
        <v>#Invalid Syntax</v>
      </c>
      <c r="E739" s="216">
        <f>SUMIFS('Investment Analysis'!$H$22:$H$69,'Investment Analysis'!$E$22:$E$69,"Strategic Income Opportunities Funds",'Investment Analysis'!$AB$22:$AB$69,"0")+SUMIFS('Investment Analysis'!$H$22:$H$69,'Investment Analysis'!$E$22:$E$69,"Strategic Income Opportunities Funds",'Investment Analysis'!$AI$22:$AI$69,"0")</f>
        <v>0</v>
      </c>
      <c r="F739" s="217" t="s">
        <v>674</v>
      </c>
      <c r="G739" s="217" t="s">
        <v>1065</v>
      </c>
      <c r="H739" s="218" t="e">
        <f t="shared" si="249"/>
        <v>#N/A</v>
      </c>
      <c r="I739" s="218" t="str">
        <f t="shared" si="249"/>
        <v>Jun</v>
      </c>
      <c r="J739" s="217" t="str">
        <f t="shared" si="249"/>
        <v>FY25</v>
      </c>
      <c r="K739" s="217" t="str">
        <f t="shared" si="249"/>
        <v>FCCS_Other Data</v>
      </c>
      <c r="L739" s="217" t="str">
        <f t="shared" si="249"/>
        <v>FCCS_No Intercompany</v>
      </c>
      <c r="M739" s="217" t="str">
        <f t="shared" si="250"/>
        <v>No Custom1</v>
      </c>
      <c r="N739" s="217" t="str">
        <f t="shared" si="249"/>
        <v>No Custom2</v>
      </c>
      <c r="O739" s="217" t="s">
        <v>609</v>
      </c>
      <c r="P739" s="217" t="s">
        <v>720</v>
      </c>
      <c r="Q739" s="217" t="str">
        <f t="shared" si="252"/>
        <v>FCCS_ClosingBalance_Input</v>
      </c>
      <c r="R739" s="217" t="s">
        <v>169</v>
      </c>
      <c r="S739" s="217" t="s">
        <v>848</v>
      </c>
      <c r="T739" s="217" t="s">
        <v>850</v>
      </c>
    </row>
    <row r="740" spans="2:20" x14ac:dyDescent="0.3">
      <c r="B740" s="210"/>
      <c r="C740" s="210"/>
      <c r="D740" s="212"/>
      <c r="E740" s="212"/>
    </row>
    <row r="741" spans="2:20" x14ac:dyDescent="0.3">
      <c r="B741" s="219" t="s">
        <v>1014</v>
      </c>
      <c r="C741" s="219" t="s">
        <v>893</v>
      </c>
      <c r="D741" s="221" t="str">
        <f>[2]!HsSetValue(E741,"FCC","Scenario#"&amp;R741&amp;";Years#"&amp;J741&amp;";Period#"&amp;I741&amp;";View#"&amp;S741&amp;";Entity#"&amp;H741&amp;";Data Source#"&amp;K741&amp;";Account#"&amp;F741&amp;";Intercompany#"&amp;L741&amp;";Movement#"&amp;Q741&amp;";Consolidation#"&amp;T741&amp;";Custom1#"&amp;M741&amp;";Custom2#"&amp;N741&amp;";Custom3#"&amp;O741&amp;";Custom4#"&amp;P741&amp;"")</f>
        <v>#Invalid Syntax</v>
      </c>
      <c r="E741" s="221">
        <f>SUMIFS('Investment Analysis'!$H$22:$H$69,'Investment Analysis'!$E$22:$E$69,"Strategic Income Opportunities Funds",'Investment Analysis'!$AK$22:$AK$69,"21")</f>
        <v>0</v>
      </c>
      <c r="F741" s="222" t="s">
        <v>675</v>
      </c>
      <c r="G741" s="222" t="s">
        <v>1037</v>
      </c>
      <c r="H741" s="223" t="e">
        <f t="shared" ref="H741:N745" si="253">+H$2</f>
        <v>#N/A</v>
      </c>
      <c r="I741" s="223" t="str">
        <f t="shared" si="253"/>
        <v>Jun</v>
      </c>
      <c r="J741" s="222" t="str">
        <f t="shared" si="253"/>
        <v>FY25</v>
      </c>
      <c r="K741" s="222" t="s">
        <v>843</v>
      </c>
      <c r="L741" s="222" t="s">
        <v>844</v>
      </c>
      <c r="M741" s="222" t="s">
        <v>845</v>
      </c>
      <c r="N741" s="222" t="s">
        <v>846</v>
      </c>
      <c r="O741" s="222" t="s">
        <v>729</v>
      </c>
      <c r="P741" s="222" t="s">
        <v>720</v>
      </c>
      <c r="Q741" s="222" t="str">
        <f t="shared" si="252"/>
        <v>FCCS_ClosingBalance_Input</v>
      </c>
      <c r="R741" s="222" t="s">
        <v>169</v>
      </c>
      <c r="S741" s="222" t="s">
        <v>848</v>
      </c>
      <c r="T741" s="222" t="s">
        <v>850</v>
      </c>
    </row>
    <row r="742" spans="2:20" x14ac:dyDescent="0.3">
      <c r="B742" s="219" t="s">
        <v>1014</v>
      </c>
      <c r="C742" s="219" t="s">
        <v>893</v>
      </c>
      <c r="D742" s="221" t="str">
        <f>[2]!HsSetValue(E742,"FCC","Scenario#"&amp;R742&amp;";Years#"&amp;J742&amp;";Period#"&amp;I742&amp;";View#"&amp;S742&amp;";Entity#"&amp;H742&amp;";Data Source#"&amp;K742&amp;";Account#"&amp;F742&amp;";Intercompany#"&amp;L742&amp;";Movement#"&amp;Q742&amp;";Consolidation#"&amp;T742&amp;";Custom1#"&amp;M742&amp;";Custom2#"&amp;N742&amp;";Custom3#"&amp;O742&amp;";Custom4#"&amp;P742&amp;"")</f>
        <v>#Invalid Syntax</v>
      </c>
      <c r="E742" s="221">
        <f>SUMIFS('Investment Analysis'!$H$22:$H$69,'Investment Analysis'!$E$22:$E$69,"Strategic Income Opportunities Funds",'Investment Analysis'!$AK$22:$AK$69,"22")</f>
        <v>0</v>
      </c>
      <c r="F742" s="222" t="s">
        <v>675</v>
      </c>
      <c r="G742" s="222" t="s">
        <v>1037</v>
      </c>
      <c r="H742" s="223" t="e">
        <f t="shared" si="253"/>
        <v>#N/A</v>
      </c>
      <c r="I742" s="223" t="str">
        <f t="shared" si="253"/>
        <v>Jun</v>
      </c>
      <c r="J742" s="222" t="str">
        <f t="shared" si="253"/>
        <v>FY25</v>
      </c>
      <c r="K742" s="222" t="str">
        <f t="shared" si="253"/>
        <v>FCCS_Other Data</v>
      </c>
      <c r="L742" s="222" t="str">
        <f t="shared" si="253"/>
        <v>FCCS_No Intercompany</v>
      </c>
      <c r="M742" s="222" t="str">
        <f>+M$1</f>
        <v>No Custom1</v>
      </c>
      <c r="N742" s="222" t="str">
        <f t="shared" si="253"/>
        <v>No Custom2</v>
      </c>
      <c r="O742" s="222" t="s">
        <v>730</v>
      </c>
      <c r="P742" s="222" t="s">
        <v>720</v>
      </c>
      <c r="Q742" s="222" t="str">
        <f t="shared" si="252"/>
        <v>FCCS_ClosingBalance_Input</v>
      </c>
      <c r="R742" s="222" t="s">
        <v>169</v>
      </c>
      <c r="S742" s="222" t="s">
        <v>848</v>
      </c>
      <c r="T742" s="222" t="s">
        <v>850</v>
      </c>
    </row>
    <row r="743" spans="2:20" x14ac:dyDescent="0.3">
      <c r="B743" s="219" t="s">
        <v>1014</v>
      </c>
      <c r="C743" s="219" t="s">
        <v>893</v>
      </c>
      <c r="D743" s="221" t="str">
        <f>[2]!HsSetValue(E743,"FCC","Scenario#"&amp;R743&amp;";Years#"&amp;J743&amp;";Period#"&amp;I743&amp;";View#"&amp;S743&amp;";Entity#"&amp;H743&amp;";Data Source#"&amp;K743&amp;";Account#"&amp;F743&amp;";Intercompany#"&amp;L743&amp;";Movement#"&amp;Q743&amp;";Consolidation#"&amp;T743&amp;";Custom1#"&amp;M743&amp;";Custom2#"&amp;N743&amp;";Custom3#"&amp;O743&amp;";Custom4#"&amp;P743&amp;"")</f>
        <v>#Invalid Syntax</v>
      </c>
      <c r="E743" s="221">
        <f>SUMIFS('Investment Analysis'!$H$22:$H$69,'Investment Analysis'!$E$22:$E$69,"Strategic Income Opportunities Funds",'Investment Analysis'!$AK$22:$AK$69,"23")</f>
        <v>0</v>
      </c>
      <c r="F743" s="222" t="s">
        <v>675</v>
      </c>
      <c r="G743" s="222" t="s">
        <v>1037</v>
      </c>
      <c r="H743" s="223" t="e">
        <f t="shared" si="253"/>
        <v>#N/A</v>
      </c>
      <c r="I743" s="223" t="str">
        <f t="shared" si="253"/>
        <v>Jun</v>
      </c>
      <c r="J743" s="222" t="str">
        <f t="shared" si="253"/>
        <v>FY25</v>
      </c>
      <c r="K743" s="222" t="str">
        <f t="shared" si="253"/>
        <v>FCCS_Other Data</v>
      </c>
      <c r="L743" s="222" t="str">
        <f t="shared" si="253"/>
        <v>FCCS_No Intercompany</v>
      </c>
      <c r="M743" s="222" t="str">
        <f>+M$1</f>
        <v>No Custom1</v>
      </c>
      <c r="N743" s="222" t="str">
        <f t="shared" si="253"/>
        <v>No Custom2</v>
      </c>
      <c r="O743" s="222" t="s">
        <v>731</v>
      </c>
      <c r="P743" s="222" t="s">
        <v>720</v>
      </c>
      <c r="Q743" s="222" t="str">
        <f t="shared" si="252"/>
        <v>FCCS_ClosingBalance_Input</v>
      </c>
      <c r="R743" s="222" t="s">
        <v>169</v>
      </c>
      <c r="S743" s="222" t="s">
        <v>848</v>
      </c>
      <c r="T743" s="222" t="s">
        <v>850</v>
      </c>
    </row>
    <row r="744" spans="2:20" x14ac:dyDescent="0.3">
      <c r="B744" s="219" t="s">
        <v>1014</v>
      </c>
      <c r="C744" s="219" t="s">
        <v>893</v>
      </c>
      <c r="D744" s="221" t="str">
        <f>[2]!HsSetValue(E744,"FCC","Scenario#"&amp;R744&amp;";Years#"&amp;J744&amp;";Period#"&amp;I744&amp;";View#"&amp;S744&amp;";Entity#"&amp;H744&amp;";Data Source#"&amp;K744&amp;";Account#"&amp;F744&amp;";Intercompany#"&amp;L744&amp;";Movement#"&amp;Q744&amp;";Consolidation#"&amp;T744&amp;";Custom1#"&amp;M744&amp;";Custom2#"&amp;N744&amp;";Custom3#"&amp;O744&amp;";Custom4#"&amp;P744&amp;"")</f>
        <v>#Invalid Syntax</v>
      </c>
      <c r="E744" s="221">
        <f>SUMIFS('Investment Analysis'!$H$22:$H$69,'Investment Analysis'!$E$22:$E$69,"Strategic Income Opportunities Funds",'Investment Analysis'!$AK$22:$AK$69,"24")</f>
        <v>0</v>
      </c>
      <c r="F744" s="222" t="s">
        <v>675</v>
      </c>
      <c r="G744" s="222" t="s">
        <v>1037</v>
      </c>
      <c r="H744" s="223" t="e">
        <f t="shared" si="253"/>
        <v>#N/A</v>
      </c>
      <c r="I744" s="223" t="str">
        <f t="shared" si="253"/>
        <v>Jun</v>
      </c>
      <c r="J744" s="222" t="str">
        <f t="shared" si="253"/>
        <v>FY25</v>
      </c>
      <c r="K744" s="222" t="str">
        <f t="shared" si="253"/>
        <v>FCCS_Other Data</v>
      </c>
      <c r="L744" s="222" t="str">
        <f t="shared" si="253"/>
        <v>FCCS_No Intercompany</v>
      </c>
      <c r="M744" s="222" t="str">
        <f>+M$1</f>
        <v>No Custom1</v>
      </c>
      <c r="N744" s="222" t="str">
        <f t="shared" si="253"/>
        <v>No Custom2</v>
      </c>
      <c r="O744" s="222" t="s">
        <v>732</v>
      </c>
      <c r="P744" s="222" t="s">
        <v>720</v>
      </c>
      <c r="Q744" s="222" t="str">
        <f t="shared" si="252"/>
        <v>FCCS_ClosingBalance_Input</v>
      </c>
      <c r="R744" s="222" t="s">
        <v>169</v>
      </c>
      <c r="S744" s="222" t="s">
        <v>848</v>
      </c>
      <c r="T744" s="222" t="s">
        <v>850</v>
      </c>
    </row>
    <row r="745" spans="2:20" x14ac:dyDescent="0.3">
      <c r="B745" s="219" t="s">
        <v>1014</v>
      </c>
      <c r="C745" s="219" t="s">
        <v>893</v>
      </c>
      <c r="D745" s="221" t="str">
        <f>[2]!HsSetValue(E745,"FCC","Scenario#"&amp;R745&amp;";Years#"&amp;J745&amp;";Period#"&amp;I745&amp;";View#"&amp;S745&amp;";Entity#"&amp;H745&amp;";Data Source#"&amp;K745&amp;";Account#"&amp;F745&amp;";Intercompany#"&amp;L745&amp;";Movement#"&amp;Q745&amp;";Consolidation#"&amp;T745&amp;";Custom1#"&amp;M745&amp;";Custom2#"&amp;N745&amp;";Custom3#"&amp;O745&amp;";Custom4#"&amp;P745&amp;"")</f>
        <v>#Invalid Syntax</v>
      </c>
      <c r="E745" s="221">
        <f>SUMIFS('Investment Analysis'!$H$22:$H$69,'Investment Analysis'!$E$22:$E$69,"Strategic Income Opportunities Funds",'Investment Analysis'!$AK$22:$AK$69,"25")</f>
        <v>0</v>
      </c>
      <c r="F745" s="222" t="s">
        <v>675</v>
      </c>
      <c r="G745" s="222" t="s">
        <v>1037</v>
      </c>
      <c r="H745" s="223" t="e">
        <f t="shared" si="253"/>
        <v>#N/A</v>
      </c>
      <c r="I745" s="223" t="str">
        <f t="shared" si="253"/>
        <v>Jun</v>
      </c>
      <c r="J745" s="222" t="str">
        <f t="shared" si="253"/>
        <v>FY25</v>
      </c>
      <c r="K745" s="222" t="str">
        <f t="shared" si="253"/>
        <v>FCCS_Other Data</v>
      </c>
      <c r="L745" s="222" t="str">
        <f t="shared" si="253"/>
        <v>FCCS_No Intercompany</v>
      </c>
      <c r="M745" s="222" t="str">
        <f>+M$1</f>
        <v>No Custom1</v>
      </c>
      <c r="N745" s="222" t="str">
        <f t="shared" si="253"/>
        <v>No Custom2</v>
      </c>
      <c r="O745" s="222" t="s">
        <v>733</v>
      </c>
      <c r="P745" s="222" t="s">
        <v>720</v>
      </c>
      <c r="Q745" s="222" t="str">
        <f t="shared" si="252"/>
        <v>FCCS_ClosingBalance_Input</v>
      </c>
      <c r="R745" s="222" t="s">
        <v>169</v>
      </c>
      <c r="S745" s="222" t="s">
        <v>848</v>
      </c>
      <c r="T745" s="222" t="s">
        <v>850</v>
      </c>
    </row>
    <row r="746" spans="2:20" x14ac:dyDescent="0.3">
      <c r="B746" s="210"/>
      <c r="C746" s="211"/>
      <c r="D746" s="212"/>
      <c r="E746" s="212"/>
    </row>
    <row r="747" spans="2:20" x14ac:dyDescent="0.3">
      <c r="B747" s="364" t="s">
        <v>668</v>
      </c>
      <c r="C747" s="364" t="s">
        <v>885</v>
      </c>
      <c r="D747" s="366" t="str">
        <f>[2]!HsSetValue(E747,"FCC","Scenario#"&amp;R747&amp;";Years#"&amp;J747&amp;";Period#"&amp;I747&amp;";View#"&amp;S747&amp;";Entity#"&amp;H747&amp;";Data Source#"&amp;K747&amp;";Account#"&amp;F747&amp;";Intercompany#"&amp;L747&amp;";Movement#"&amp;Q747&amp;";Consolidation#"&amp;T747&amp;";Custom1#"&amp;M747&amp;";Custom2#"&amp;N747&amp;";Custom3#"&amp;O747&amp;";Custom4#"&amp;P747&amp;"")</f>
        <v>#Invalid Syntax</v>
      </c>
      <c r="E747" s="366">
        <f>SUMIF('Investment Analysis'!$E$22:$E$69,'FCC Investments - Load Tab'!C747,'Investment Analysis'!$K$22:$K$69)</f>
        <v>0</v>
      </c>
      <c r="F747" s="367" t="s">
        <v>673</v>
      </c>
      <c r="G747" s="367" t="str">
        <f>"Inv. Analysis - Interest Rate Risk - "&amp;C747</f>
        <v xml:space="preserve">Inv. Analysis - Interest Rate Risk - Private Equity   </v>
      </c>
      <c r="H747" s="368" t="e">
        <f>+H$2</f>
        <v>#N/A</v>
      </c>
      <c r="I747" s="368" t="str">
        <f t="shared" si="228"/>
        <v>Jun</v>
      </c>
      <c r="J747" s="367" t="str">
        <f>+J$2</f>
        <v>FY25</v>
      </c>
      <c r="K747" s="367" t="s">
        <v>843</v>
      </c>
      <c r="L747" s="367" t="s">
        <v>844</v>
      </c>
      <c r="M747" s="367" t="s">
        <v>845</v>
      </c>
      <c r="N747" s="367" t="s">
        <v>846</v>
      </c>
      <c r="O747" s="367" t="s">
        <v>721</v>
      </c>
      <c r="P747" s="367" t="s">
        <v>878</v>
      </c>
      <c r="Q747" s="367" t="str">
        <f t="shared" si="252"/>
        <v>FCCS_ClosingBalance_Input</v>
      </c>
      <c r="R747" s="367" t="s">
        <v>169</v>
      </c>
      <c r="S747" s="367" t="s">
        <v>848</v>
      </c>
      <c r="T747" s="367" t="s">
        <v>850</v>
      </c>
    </row>
    <row r="748" spans="2:20" x14ac:dyDescent="0.3">
      <c r="B748" s="364" t="s">
        <v>668</v>
      </c>
      <c r="C748" s="364" t="s">
        <v>885</v>
      </c>
      <c r="D748" s="366" t="str">
        <f>[2]!HsSetValue(E748,"FCC","Scenario#"&amp;R748&amp;";Years#"&amp;J748&amp;";Period#"&amp;I748&amp;";View#"&amp;S748&amp;";Entity#"&amp;H748&amp;";Data Source#"&amp;K748&amp;";Account#"&amp;F748&amp;";Intercompany#"&amp;L748&amp;";Movement#"&amp;Q748&amp;";Consolidation#"&amp;T748&amp;";Custom1#"&amp;M748&amp;";Custom2#"&amp;N748&amp;";Custom3#"&amp;O748&amp;";Custom4#"&amp;P748&amp;"")</f>
        <v>#Invalid Syntax</v>
      </c>
      <c r="E748" s="366">
        <f>SUMIF('Investment Analysis'!$E$22:$E$69,'FCC Investments - Load Tab'!C747,'Investment Analysis'!$L$22:$L$69)</f>
        <v>0</v>
      </c>
      <c r="F748" s="367" t="s">
        <v>673</v>
      </c>
      <c r="G748" s="367" t="str">
        <f t="shared" ref="G748:G751" si="254">"Inv. Analysis - Interest Rate Risk - "&amp;C748</f>
        <v xml:space="preserve">Inv. Analysis - Interest Rate Risk - Private Equity   </v>
      </c>
      <c r="H748" s="368" t="e">
        <f>+H$2</f>
        <v>#N/A</v>
      </c>
      <c r="I748" s="368" t="str">
        <f t="shared" si="228"/>
        <v>Jun</v>
      </c>
      <c r="J748" s="367" t="str">
        <f>+J$2</f>
        <v>FY25</v>
      </c>
      <c r="K748" s="367" t="str">
        <f t="shared" ref="K748:N751" si="255">+K$2</f>
        <v>FCCS_Other Data</v>
      </c>
      <c r="L748" s="367" t="str">
        <f t="shared" si="255"/>
        <v>FCCS_No Intercompany</v>
      </c>
      <c r="M748" s="367" t="str">
        <f>+M$1</f>
        <v>No Custom1</v>
      </c>
      <c r="N748" s="367" t="str">
        <f t="shared" si="255"/>
        <v>No Custom2</v>
      </c>
      <c r="O748" s="367" t="s">
        <v>722</v>
      </c>
      <c r="P748" s="367" t="s">
        <v>878</v>
      </c>
      <c r="Q748" s="367" t="str">
        <f t="shared" si="252"/>
        <v>FCCS_ClosingBalance_Input</v>
      </c>
      <c r="R748" s="367" t="str">
        <f t="shared" ref="R748:S751" si="256">+R$2</f>
        <v>Actual</v>
      </c>
      <c r="S748" s="367" t="str">
        <f t="shared" si="256"/>
        <v>FCCS_YTD_Input</v>
      </c>
      <c r="T748" s="367" t="s">
        <v>850</v>
      </c>
    </row>
    <row r="749" spans="2:20" x14ac:dyDescent="0.3">
      <c r="B749" s="364" t="s">
        <v>668</v>
      </c>
      <c r="C749" s="364" t="s">
        <v>885</v>
      </c>
      <c r="D749" s="366" t="str">
        <f>[2]!HsSetValue(E749,"FCC","Scenario#"&amp;R749&amp;";Years#"&amp;J749&amp;";Period#"&amp;I749&amp;";View#"&amp;S749&amp;";Entity#"&amp;H749&amp;";Data Source#"&amp;K749&amp;";Account#"&amp;F749&amp;";Intercompany#"&amp;L749&amp;";Movement#"&amp;Q749&amp;";Consolidation#"&amp;T749&amp;";Custom1#"&amp;M749&amp;";Custom2#"&amp;N749&amp;";Custom3#"&amp;O749&amp;";Custom4#"&amp;P749&amp;"")</f>
        <v>#Invalid Syntax</v>
      </c>
      <c r="E749" s="366">
        <f>SUMIF('Investment Analysis'!$E$22:$E$69,'FCC Investments - Load Tab'!C747,'Investment Analysis'!$M$22:$M$69)</f>
        <v>0</v>
      </c>
      <c r="F749" s="367" t="s">
        <v>673</v>
      </c>
      <c r="G749" s="367" t="str">
        <f t="shared" si="254"/>
        <v xml:space="preserve">Inv. Analysis - Interest Rate Risk - Private Equity   </v>
      </c>
      <c r="H749" s="368" t="e">
        <f>+H$2</f>
        <v>#N/A</v>
      </c>
      <c r="I749" s="368" t="str">
        <f t="shared" si="228"/>
        <v>Jun</v>
      </c>
      <c r="J749" s="367" t="str">
        <f>+J$2</f>
        <v>FY25</v>
      </c>
      <c r="K749" s="367" t="str">
        <f t="shared" si="255"/>
        <v>FCCS_Other Data</v>
      </c>
      <c r="L749" s="367" t="str">
        <f t="shared" si="255"/>
        <v>FCCS_No Intercompany</v>
      </c>
      <c r="M749" s="367" t="str">
        <f>+M$1</f>
        <v>No Custom1</v>
      </c>
      <c r="N749" s="367" t="str">
        <f t="shared" si="255"/>
        <v>No Custom2</v>
      </c>
      <c r="O749" s="367" t="s">
        <v>723</v>
      </c>
      <c r="P749" s="367" t="s">
        <v>878</v>
      </c>
      <c r="Q749" s="367" t="str">
        <f t="shared" si="252"/>
        <v>FCCS_ClosingBalance_Input</v>
      </c>
      <c r="R749" s="367" t="str">
        <f t="shared" si="256"/>
        <v>Actual</v>
      </c>
      <c r="S749" s="367" t="str">
        <f t="shared" si="256"/>
        <v>FCCS_YTD_Input</v>
      </c>
      <c r="T749" s="367" t="s">
        <v>850</v>
      </c>
    </row>
    <row r="750" spans="2:20" x14ac:dyDescent="0.3">
      <c r="B750" s="364" t="s">
        <v>668</v>
      </c>
      <c r="C750" s="364" t="s">
        <v>885</v>
      </c>
      <c r="D750" s="366" t="str">
        <f>[2]!HsSetValue(E750,"FCC","Scenario#"&amp;R750&amp;";Years#"&amp;J750&amp;";Period#"&amp;I750&amp;";View#"&amp;S750&amp;";Entity#"&amp;H750&amp;";Data Source#"&amp;K750&amp;";Account#"&amp;F750&amp;";Intercompany#"&amp;L750&amp;";Movement#"&amp;Q750&amp;";Consolidation#"&amp;T750&amp;";Custom1#"&amp;M750&amp;";Custom2#"&amp;N750&amp;";Custom3#"&amp;O750&amp;";Custom4#"&amp;P750&amp;"")</f>
        <v>#Invalid Syntax</v>
      </c>
      <c r="E750" s="366">
        <f>SUMIF('Investment Analysis'!$E$22:$E$69,'FCC Investments - Load Tab'!C750,'Investment Analysis'!$N$22:$N$69)</f>
        <v>0</v>
      </c>
      <c r="F750" s="367" t="s">
        <v>673</v>
      </c>
      <c r="G750" s="367" t="str">
        <f t="shared" si="254"/>
        <v xml:space="preserve">Inv. Analysis - Interest Rate Risk - Private Equity   </v>
      </c>
      <c r="H750" s="368" t="e">
        <f>+H$2</f>
        <v>#N/A</v>
      </c>
      <c r="I750" s="368" t="str">
        <f t="shared" si="228"/>
        <v>Jun</v>
      </c>
      <c r="J750" s="367" t="str">
        <f>+J$2</f>
        <v>FY25</v>
      </c>
      <c r="K750" s="367" t="str">
        <f t="shared" si="255"/>
        <v>FCCS_Other Data</v>
      </c>
      <c r="L750" s="367" t="str">
        <f t="shared" si="255"/>
        <v>FCCS_No Intercompany</v>
      </c>
      <c r="M750" s="367" t="str">
        <f>+M$1</f>
        <v>No Custom1</v>
      </c>
      <c r="N750" s="367" t="str">
        <f t="shared" si="255"/>
        <v>No Custom2</v>
      </c>
      <c r="O750" s="367" t="s">
        <v>724</v>
      </c>
      <c r="P750" s="367" t="s">
        <v>878</v>
      </c>
      <c r="Q750" s="367" t="str">
        <f t="shared" si="252"/>
        <v>FCCS_ClosingBalance_Input</v>
      </c>
      <c r="R750" s="367" t="str">
        <f t="shared" si="256"/>
        <v>Actual</v>
      </c>
      <c r="S750" s="367" t="str">
        <f t="shared" si="256"/>
        <v>FCCS_YTD_Input</v>
      </c>
      <c r="T750" s="367" t="s">
        <v>850</v>
      </c>
    </row>
    <row r="751" spans="2:20" x14ac:dyDescent="0.3">
      <c r="B751" s="364" t="s">
        <v>668</v>
      </c>
      <c r="C751" s="364" t="s">
        <v>885</v>
      </c>
      <c r="D751" s="366" t="str">
        <f>[2]!HsSetValue(E751,"FCC","Scenario#"&amp;R751&amp;";Years#"&amp;J751&amp;";Period#"&amp;I751&amp;";View#"&amp;S751&amp;";Entity#"&amp;H751&amp;";Data Source#"&amp;K751&amp;";Account#"&amp;F751&amp;";Intercompany#"&amp;L751&amp;";Movement#"&amp;Q751&amp;";Consolidation#"&amp;T751&amp;";Custom1#"&amp;M751&amp;";Custom2#"&amp;N751&amp;";Custom3#"&amp;O751&amp;";Custom4#"&amp;P751&amp;"")</f>
        <v>#Invalid Syntax</v>
      </c>
      <c r="E751" s="366">
        <f>SUMIF('Investment Analysis'!$E$2:$E$69,'FCC Investments - Load Tab'!C751,'Investment Analysis'!$O$2:$O$69)</f>
        <v>0</v>
      </c>
      <c r="F751" s="367" t="s">
        <v>673</v>
      </c>
      <c r="G751" s="367" t="str">
        <f t="shared" si="254"/>
        <v xml:space="preserve">Inv. Analysis - Interest Rate Risk - Private Equity   </v>
      </c>
      <c r="H751" s="368" t="e">
        <f>+H$2</f>
        <v>#N/A</v>
      </c>
      <c r="I751" s="368" t="str">
        <f t="shared" si="228"/>
        <v>Jun</v>
      </c>
      <c r="J751" s="367" t="str">
        <f>+J$2</f>
        <v>FY25</v>
      </c>
      <c r="K751" s="367" t="str">
        <f t="shared" si="255"/>
        <v>FCCS_Other Data</v>
      </c>
      <c r="L751" s="367" t="str">
        <f t="shared" si="255"/>
        <v>FCCS_No Intercompany</v>
      </c>
      <c r="M751" s="367" t="str">
        <f>+M$1</f>
        <v>No Custom1</v>
      </c>
      <c r="N751" s="367" t="str">
        <f t="shared" si="255"/>
        <v>No Custom2</v>
      </c>
      <c r="O751" s="367" t="s">
        <v>725</v>
      </c>
      <c r="P751" s="367" t="s">
        <v>878</v>
      </c>
      <c r="Q751" s="367" t="str">
        <f t="shared" si="252"/>
        <v>FCCS_ClosingBalance_Input</v>
      </c>
      <c r="R751" s="367" t="str">
        <f t="shared" si="256"/>
        <v>Actual</v>
      </c>
      <c r="S751" s="367" t="str">
        <f t="shared" si="256"/>
        <v>FCCS_YTD_Input</v>
      </c>
      <c r="T751" s="367" t="s">
        <v>850</v>
      </c>
    </row>
    <row r="753" spans="2:20" x14ac:dyDescent="0.3">
      <c r="B753" s="214" t="s">
        <v>667</v>
      </c>
      <c r="C753" s="214" t="s">
        <v>956</v>
      </c>
      <c r="D753" s="216" t="str">
        <f>[2]!HsSetValue(E753,"FCC","Scenario#"&amp;R753&amp;";Years#"&amp;J753&amp;";Period#"&amp;I753&amp;";View#"&amp;S753&amp;";Entity#"&amp;H753&amp;";Data Source#"&amp;K753&amp;";Account#"&amp;F753&amp;";Intercompany#"&amp;L753&amp;";Movement#"&amp;Q753&amp;";Consolidation#"&amp;T753&amp;";Custom1#"&amp;M753&amp;";Custom2#"&amp;N753&amp;";Custom3#"&amp;O753&amp;";Custom4#"&amp;P753&amp;"")</f>
        <v>#Invalid Syntax</v>
      </c>
      <c r="E753" s="216">
        <f>SUMIFS('Investment Analysis'!$H$22:$H$69,'Investment Analysis'!$E$22:$E$69,"Private Equity",'Investment Analysis'!$AB$22:$AB$69,"10")</f>
        <v>0</v>
      </c>
      <c r="F753" s="217" t="s">
        <v>674</v>
      </c>
      <c r="G753" s="217" t="str">
        <f t="shared" ref="G753:G766" si="257">"Inv. Analysis - Credit Quality Risk - "&amp;C753</f>
        <v>Inv. Analysis - Credit Quality Risk - Private Equity</v>
      </c>
      <c r="H753" s="218" t="e">
        <f t="shared" ref="H753:N766" si="258">+H$2</f>
        <v>#N/A</v>
      </c>
      <c r="I753" s="218" t="str">
        <f t="shared" si="258"/>
        <v>Jun</v>
      </c>
      <c r="J753" s="217" t="str">
        <f t="shared" si="258"/>
        <v>FY25</v>
      </c>
      <c r="K753" s="217" t="str">
        <f t="shared" si="258"/>
        <v>FCCS_Other Data</v>
      </c>
      <c r="L753" s="217" t="str">
        <f t="shared" si="258"/>
        <v>FCCS_No Intercompany</v>
      </c>
      <c r="M753" s="217" t="str">
        <f t="shared" ref="M753:M766" si="259">+M$1</f>
        <v>No Custom1</v>
      </c>
      <c r="N753" s="217" t="str">
        <f t="shared" si="258"/>
        <v>No Custom2</v>
      </c>
      <c r="O753" s="217" t="s">
        <v>433</v>
      </c>
      <c r="P753" s="217" t="s">
        <v>878</v>
      </c>
      <c r="Q753" s="217" t="str">
        <f t="shared" ref="Q753:Q766" si="260">Q$2</f>
        <v>FCCS_ClosingBalance_Input</v>
      </c>
      <c r="R753" s="217" t="str">
        <f t="shared" ref="R753:S766" si="261">+R$2</f>
        <v>Actual</v>
      </c>
      <c r="S753" s="217" t="str">
        <f t="shared" si="261"/>
        <v>FCCS_YTD_Input</v>
      </c>
      <c r="T753" s="217" t="s">
        <v>850</v>
      </c>
    </row>
    <row r="754" spans="2:20" x14ac:dyDescent="0.3">
      <c r="B754" s="214" t="s">
        <v>667</v>
      </c>
      <c r="C754" s="214" t="s">
        <v>956</v>
      </c>
      <c r="D754" s="216" t="str">
        <f>[2]!HsSetValue(E754,"FCC","Scenario#"&amp;R754&amp;";Years#"&amp;J754&amp;";Period#"&amp;I754&amp;";View#"&amp;S754&amp;";Entity#"&amp;H754&amp;";Data Source#"&amp;K754&amp;";Account#"&amp;F754&amp;";Intercompany#"&amp;L754&amp;";Movement#"&amp;Q754&amp;";Consolidation#"&amp;T754&amp;";Custom1#"&amp;M754&amp;";Custom2#"&amp;N754&amp;";Custom3#"&amp;O754&amp;";Custom4#"&amp;P754&amp;"")</f>
        <v>#Invalid Syntax</v>
      </c>
      <c r="E754" s="216">
        <f>SUMIFS('Investment Analysis'!$H$22:$H$69,'Investment Analysis'!$E$22:$E$69,"Private Equity",'Investment Analysis'!$AB$22:$AB$69,"9")</f>
        <v>0</v>
      </c>
      <c r="F754" s="217" t="s">
        <v>674</v>
      </c>
      <c r="G754" s="217" t="str">
        <f t="shared" si="257"/>
        <v>Inv. Analysis - Credit Quality Risk - Private Equity</v>
      </c>
      <c r="H754" s="218" t="e">
        <f t="shared" si="258"/>
        <v>#N/A</v>
      </c>
      <c r="I754" s="218" t="str">
        <f t="shared" si="258"/>
        <v>Jun</v>
      </c>
      <c r="J754" s="217" t="str">
        <f t="shared" si="258"/>
        <v>FY25</v>
      </c>
      <c r="K754" s="217" t="str">
        <f t="shared" si="258"/>
        <v>FCCS_Other Data</v>
      </c>
      <c r="L754" s="217" t="str">
        <f t="shared" si="258"/>
        <v>FCCS_No Intercompany</v>
      </c>
      <c r="M754" s="217" t="str">
        <f t="shared" si="259"/>
        <v>No Custom1</v>
      </c>
      <c r="N754" s="217" t="str">
        <f t="shared" si="258"/>
        <v>No Custom2</v>
      </c>
      <c r="O754" s="217" t="s">
        <v>596</v>
      </c>
      <c r="P754" s="217" t="s">
        <v>878</v>
      </c>
      <c r="Q754" s="217" t="str">
        <f t="shared" si="260"/>
        <v>FCCS_ClosingBalance_Input</v>
      </c>
      <c r="R754" s="217" t="str">
        <f t="shared" si="261"/>
        <v>Actual</v>
      </c>
      <c r="S754" s="217" t="str">
        <f t="shared" si="261"/>
        <v>FCCS_YTD_Input</v>
      </c>
      <c r="T754" s="217" t="s">
        <v>850</v>
      </c>
    </row>
    <row r="755" spans="2:20" x14ac:dyDescent="0.3">
      <c r="B755" s="214" t="s">
        <v>667</v>
      </c>
      <c r="C755" s="214" t="s">
        <v>956</v>
      </c>
      <c r="D755" s="216" t="str">
        <f>[2]!HsSetValue(E755,"FCC","Scenario#"&amp;R755&amp;";Years#"&amp;J755&amp;";Period#"&amp;I755&amp;";View#"&amp;S755&amp;";Entity#"&amp;H755&amp;";Data Source#"&amp;K755&amp;";Account#"&amp;F755&amp;";Intercompany#"&amp;L755&amp;";Movement#"&amp;Q755&amp;";Consolidation#"&amp;T755&amp;";Custom1#"&amp;M755&amp;";Custom2#"&amp;N755&amp;";Custom3#"&amp;O755&amp;";Custom4#"&amp;P755&amp;"")</f>
        <v>#Invalid Syntax</v>
      </c>
      <c r="E755" s="216">
        <f>SUMIFS('Investment Analysis'!$H$22:$H$69,'Investment Analysis'!$E$22:$E$69,"Private Equity",'Investment Analysis'!$AB$22:$AB$69,"8")</f>
        <v>0</v>
      </c>
      <c r="F755" s="217" t="s">
        <v>674</v>
      </c>
      <c r="G755" s="217" t="str">
        <f t="shared" si="257"/>
        <v>Inv. Analysis - Credit Quality Risk - Private Equity</v>
      </c>
      <c r="H755" s="218" t="e">
        <f t="shared" si="258"/>
        <v>#N/A</v>
      </c>
      <c r="I755" s="218" t="str">
        <f t="shared" si="258"/>
        <v>Jun</v>
      </c>
      <c r="J755" s="217" t="str">
        <f t="shared" si="258"/>
        <v>FY25</v>
      </c>
      <c r="K755" s="217" t="str">
        <f t="shared" si="258"/>
        <v>FCCS_Other Data</v>
      </c>
      <c r="L755" s="217" t="str">
        <f t="shared" si="258"/>
        <v>FCCS_No Intercompany</v>
      </c>
      <c r="M755" s="217" t="str">
        <f t="shared" si="259"/>
        <v>No Custom1</v>
      </c>
      <c r="N755" s="217" t="str">
        <f t="shared" si="258"/>
        <v>No Custom2</v>
      </c>
      <c r="O755" s="217" t="s">
        <v>61</v>
      </c>
      <c r="P755" s="217" t="s">
        <v>878</v>
      </c>
      <c r="Q755" s="217" t="str">
        <f t="shared" si="260"/>
        <v>FCCS_ClosingBalance_Input</v>
      </c>
      <c r="R755" s="217" t="str">
        <f t="shared" si="261"/>
        <v>Actual</v>
      </c>
      <c r="S755" s="217" t="str">
        <f t="shared" si="261"/>
        <v>FCCS_YTD_Input</v>
      </c>
      <c r="T755" s="217" t="s">
        <v>850</v>
      </c>
    </row>
    <row r="756" spans="2:20" x14ac:dyDescent="0.3">
      <c r="B756" s="214" t="s">
        <v>667</v>
      </c>
      <c r="C756" s="214" t="s">
        <v>956</v>
      </c>
      <c r="D756" s="216" t="str">
        <f>[2]!HsSetValue(E756,"FCC","Scenario#"&amp;R756&amp;";Years#"&amp;J756&amp;";Period#"&amp;I756&amp;";View#"&amp;S756&amp;";Entity#"&amp;H756&amp;";Data Source#"&amp;K756&amp;";Account#"&amp;F756&amp;";Intercompany#"&amp;L756&amp;";Movement#"&amp;Q756&amp;";Consolidation#"&amp;T756&amp;";Custom1#"&amp;M756&amp;";Custom2#"&amp;N756&amp;";Custom3#"&amp;O756&amp;";Custom4#"&amp;P756&amp;"")</f>
        <v>#Invalid Syntax</v>
      </c>
      <c r="E756" s="216">
        <f>SUMIFS('Investment Analysis'!$H$22:$H$69,'Investment Analysis'!$E$22:$E$69,"Private Equity",'Investment Analysis'!$AB$22:$AB$69,"7")</f>
        <v>0</v>
      </c>
      <c r="F756" s="217" t="s">
        <v>674</v>
      </c>
      <c r="G756" s="217" t="str">
        <f t="shared" si="257"/>
        <v>Inv. Analysis - Credit Quality Risk - Private Equity</v>
      </c>
      <c r="H756" s="218" t="e">
        <f t="shared" si="258"/>
        <v>#N/A</v>
      </c>
      <c r="I756" s="218" t="str">
        <f t="shared" si="258"/>
        <v>Jun</v>
      </c>
      <c r="J756" s="217" t="str">
        <f t="shared" si="258"/>
        <v>FY25</v>
      </c>
      <c r="K756" s="217" t="str">
        <f t="shared" si="258"/>
        <v>FCCS_Other Data</v>
      </c>
      <c r="L756" s="217" t="str">
        <f t="shared" si="258"/>
        <v>FCCS_No Intercompany</v>
      </c>
      <c r="M756" s="217" t="str">
        <f t="shared" si="259"/>
        <v>No Custom1</v>
      </c>
      <c r="N756" s="217" t="str">
        <f t="shared" si="258"/>
        <v>No Custom2</v>
      </c>
      <c r="O756" s="217" t="s">
        <v>62</v>
      </c>
      <c r="P756" s="217" t="s">
        <v>878</v>
      </c>
      <c r="Q756" s="217" t="str">
        <f t="shared" si="260"/>
        <v>FCCS_ClosingBalance_Input</v>
      </c>
      <c r="R756" s="217" t="str">
        <f t="shared" si="261"/>
        <v>Actual</v>
      </c>
      <c r="S756" s="217" t="str">
        <f t="shared" si="261"/>
        <v>FCCS_YTD_Input</v>
      </c>
      <c r="T756" s="217" t="s">
        <v>850</v>
      </c>
    </row>
    <row r="757" spans="2:20" x14ac:dyDescent="0.3">
      <c r="B757" s="214" t="s">
        <v>667</v>
      </c>
      <c r="C757" s="214" t="s">
        <v>956</v>
      </c>
      <c r="D757" s="216" t="str">
        <f>[2]!HsSetValue(E757,"FCC","Scenario#"&amp;R757&amp;";Years#"&amp;J757&amp;";Period#"&amp;I757&amp;";View#"&amp;S757&amp;";Entity#"&amp;H757&amp;";Data Source#"&amp;K757&amp;";Account#"&amp;F757&amp;";Intercompany#"&amp;L757&amp;";Movement#"&amp;Q757&amp;";Consolidation#"&amp;T757&amp;";Custom1#"&amp;M757&amp;";Custom2#"&amp;N757&amp;";Custom3#"&amp;O757&amp;";Custom4#"&amp;P757&amp;"")</f>
        <v>#Invalid Syntax</v>
      </c>
      <c r="E757" s="216">
        <f>SUMIFS('Investment Analysis'!$H$22:$H$69,'Investment Analysis'!$E$22:$E$69,"Private Equity",'Investment Analysis'!$AB$22:$AB$69,"6")</f>
        <v>0</v>
      </c>
      <c r="F757" s="217" t="s">
        <v>674</v>
      </c>
      <c r="G757" s="217" t="str">
        <f t="shared" si="257"/>
        <v>Inv. Analysis - Credit Quality Risk - Private Equity</v>
      </c>
      <c r="H757" s="218" t="e">
        <f t="shared" si="258"/>
        <v>#N/A</v>
      </c>
      <c r="I757" s="218" t="str">
        <f t="shared" si="258"/>
        <v>Jun</v>
      </c>
      <c r="J757" s="217" t="str">
        <f t="shared" si="258"/>
        <v>FY25</v>
      </c>
      <c r="K757" s="217" t="str">
        <f t="shared" si="258"/>
        <v>FCCS_Other Data</v>
      </c>
      <c r="L757" s="217" t="str">
        <f t="shared" si="258"/>
        <v>FCCS_No Intercompany</v>
      </c>
      <c r="M757" s="217" t="str">
        <f t="shared" si="259"/>
        <v>No Custom1</v>
      </c>
      <c r="N757" s="217" t="str">
        <f t="shared" si="258"/>
        <v>No Custom2</v>
      </c>
      <c r="O757" s="217" t="s">
        <v>436</v>
      </c>
      <c r="P757" s="217" t="s">
        <v>878</v>
      </c>
      <c r="Q757" s="217" t="str">
        <f t="shared" si="260"/>
        <v>FCCS_ClosingBalance_Input</v>
      </c>
      <c r="R757" s="217" t="str">
        <f t="shared" si="261"/>
        <v>Actual</v>
      </c>
      <c r="S757" s="217" t="str">
        <f t="shared" si="261"/>
        <v>FCCS_YTD_Input</v>
      </c>
      <c r="T757" s="217" t="s">
        <v>850</v>
      </c>
    </row>
    <row r="758" spans="2:20" s="371" customFormat="1" x14ac:dyDescent="0.3">
      <c r="B758" s="214" t="s">
        <v>667</v>
      </c>
      <c r="C758" s="214" t="s">
        <v>956</v>
      </c>
      <c r="D758" s="216" t="str">
        <f>[2]!HsSetValue(E758,"FCC","Scenario#"&amp;R758&amp;";Years#"&amp;J758&amp;";Period#"&amp;I758&amp;";View#"&amp;S758&amp;";Entity#"&amp;H758&amp;";Data Source#"&amp;K758&amp;";Account#"&amp;F758&amp;";Intercompany#"&amp;L758&amp;";Movement#"&amp;Q758&amp;";Consolidation#"&amp;T758&amp;";Custom1#"&amp;M758&amp;";Custom2#"&amp;N758&amp;";Custom3#"&amp;O758&amp;";Custom4#"&amp;P758&amp;"")</f>
        <v>#Invalid Syntax</v>
      </c>
      <c r="E758" s="216">
        <f>SUMIFS('Investment Analysis'!$H$22:$H$69,'Investment Analysis'!$E$22:$E$69,"Private Equity",'Investment Analysis'!$AB$22:$AB$69,"5")</f>
        <v>0</v>
      </c>
      <c r="F758" s="217" t="s">
        <v>674</v>
      </c>
      <c r="G758" s="217" t="str">
        <f t="shared" si="257"/>
        <v>Inv. Analysis - Credit Quality Risk - Private Equity</v>
      </c>
      <c r="H758" s="218" t="e">
        <f t="shared" si="258"/>
        <v>#N/A</v>
      </c>
      <c r="I758" s="218" t="str">
        <f t="shared" si="258"/>
        <v>Jun</v>
      </c>
      <c r="J758" s="217" t="str">
        <f t="shared" si="258"/>
        <v>FY25</v>
      </c>
      <c r="K758" s="217" t="str">
        <f t="shared" si="258"/>
        <v>FCCS_Other Data</v>
      </c>
      <c r="L758" s="217" t="str">
        <f t="shared" si="258"/>
        <v>FCCS_No Intercompany</v>
      </c>
      <c r="M758" s="217" t="str">
        <f t="shared" si="259"/>
        <v>No Custom1</v>
      </c>
      <c r="N758" s="217" t="str">
        <f t="shared" si="258"/>
        <v>No Custom2</v>
      </c>
      <c r="O758" s="217" t="s">
        <v>434</v>
      </c>
      <c r="P758" s="217" t="s">
        <v>878</v>
      </c>
      <c r="Q758" s="217" t="str">
        <f t="shared" si="260"/>
        <v>FCCS_ClosingBalance_Input</v>
      </c>
      <c r="R758" s="217" t="str">
        <f t="shared" si="261"/>
        <v>Actual</v>
      </c>
      <c r="S758" s="217" t="str">
        <f t="shared" si="261"/>
        <v>FCCS_YTD_Input</v>
      </c>
      <c r="T758" s="217" t="s">
        <v>850</v>
      </c>
    </row>
    <row r="759" spans="2:20" s="371" customFormat="1" x14ac:dyDescent="0.3">
      <c r="B759" s="214" t="s">
        <v>667</v>
      </c>
      <c r="C759" s="214" t="s">
        <v>956</v>
      </c>
      <c r="D759" s="216" t="str">
        <f>[2]!HsSetValue(E759,"FCC","Scenario#"&amp;R759&amp;";Years#"&amp;J759&amp;";Period#"&amp;I759&amp;";View#"&amp;S759&amp;";Entity#"&amp;H759&amp;";Data Source#"&amp;K759&amp;";Account#"&amp;F759&amp;";Intercompany#"&amp;L759&amp;";Movement#"&amp;Q759&amp;";Consolidation#"&amp;T759&amp;";Custom1#"&amp;M759&amp;";Custom2#"&amp;N759&amp;";Custom3#"&amp;O759&amp;";Custom4#"&amp;P759&amp;"")</f>
        <v>#Invalid Syntax</v>
      </c>
      <c r="E759" s="216">
        <f>SUMIFS('Investment Analysis'!$H$22:$H$69,'Investment Analysis'!$E$22:$E$69,"Private Equity",'Investment Analysis'!$AB$22:$AB$69,"4")</f>
        <v>0</v>
      </c>
      <c r="F759" s="217" t="s">
        <v>674</v>
      </c>
      <c r="G759" s="217" t="str">
        <f t="shared" si="257"/>
        <v>Inv. Analysis - Credit Quality Risk - Private Equity</v>
      </c>
      <c r="H759" s="218" t="e">
        <f t="shared" si="258"/>
        <v>#N/A</v>
      </c>
      <c r="I759" s="218" t="str">
        <f t="shared" si="258"/>
        <v>Jun</v>
      </c>
      <c r="J759" s="217" t="str">
        <f t="shared" si="258"/>
        <v>FY25</v>
      </c>
      <c r="K759" s="217" t="str">
        <f t="shared" si="258"/>
        <v>FCCS_Other Data</v>
      </c>
      <c r="L759" s="217" t="str">
        <f t="shared" si="258"/>
        <v>FCCS_No Intercompany</v>
      </c>
      <c r="M759" s="217" t="str">
        <f t="shared" si="259"/>
        <v>No Custom1</v>
      </c>
      <c r="N759" s="217" t="str">
        <f t="shared" si="258"/>
        <v>No Custom2</v>
      </c>
      <c r="O759" s="217" t="s">
        <v>63</v>
      </c>
      <c r="P759" s="217" t="s">
        <v>878</v>
      </c>
      <c r="Q759" s="217" t="str">
        <f t="shared" si="260"/>
        <v>FCCS_ClosingBalance_Input</v>
      </c>
      <c r="R759" s="217" t="str">
        <f t="shared" si="261"/>
        <v>Actual</v>
      </c>
      <c r="S759" s="217" t="str">
        <f t="shared" si="261"/>
        <v>FCCS_YTD_Input</v>
      </c>
      <c r="T759" s="217" t="s">
        <v>850</v>
      </c>
    </row>
    <row r="760" spans="2:20" s="371" customFormat="1" x14ac:dyDescent="0.3">
      <c r="B760" s="214" t="s">
        <v>667</v>
      </c>
      <c r="C760" s="214" t="s">
        <v>956</v>
      </c>
      <c r="D760" s="216" t="str">
        <f>[2]!HsSetValue(E760,"FCC","Scenario#"&amp;R760&amp;";Years#"&amp;J760&amp;";Period#"&amp;I760&amp;";View#"&amp;S760&amp;";Entity#"&amp;H760&amp;";Data Source#"&amp;K760&amp;";Account#"&amp;F760&amp;";Intercompany#"&amp;L760&amp;";Movement#"&amp;Q760&amp;";Consolidation#"&amp;T760&amp;";Custom1#"&amp;M760&amp;";Custom2#"&amp;N760&amp;";Custom3#"&amp;O760&amp;";Custom4#"&amp;P760&amp;"")</f>
        <v>#Invalid Syntax</v>
      </c>
      <c r="E760" s="216">
        <f>SUMIFS('Investment Analysis'!$H$22:$H$69,'Investment Analysis'!$E$22:$E$69,"Private Equity",'Investment Analysis'!$AB$22:$AB$69,"3")</f>
        <v>0</v>
      </c>
      <c r="F760" s="217" t="s">
        <v>674</v>
      </c>
      <c r="G760" s="217" t="str">
        <f t="shared" si="257"/>
        <v>Inv. Analysis - Credit Quality Risk - Private Equity</v>
      </c>
      <c r="H760" s="218" t="e">
        <f t="shared" si="258"/>
        <v>#N/A</v>
      </c>
      <c r="I760" s="218" t="str">
        <f t="shared" si="258"/>
        <v>Jun</v>
      </c>
      <c r="J760" s="217" t="str">
        <f t="shared" si="258"/>
        <v>FY25</v>
      </c>
      <c r="K760" s="217" t="str">
        <f t="shared" si="258"/>
        <v>FCCS_Other Data</v>
      </c>
      <c r="L760" s="217" t="str">
        <f t="shared" si="258"/>
        <v>FCCS_No Intercompany</v>
      </c>
      <c r="M760" s="217" t="str">
        <f t="shared" si="259"/>
        <v>No Custom1</v>
      </c>
      <c r="N760" s="217" t="str">
        <f t="shared" si="258"/>
        <v>No Custom2</v>
      </c>
      <c r="O760" s="217" t="s">
        <v>622</v>
      </c>
      <c r="P760" s="217" t="s">
        <v>878</v>
      </c>
      <c r="Q760" s="217" t="str">
        <f t="shared" si="260"/>
        <v>FCCS_ClosingBalance_Input</v>
      </c>
      <c r="R760" s="217" t="str">
        <f t="shared" si="261"/>
        <v>Actual</v>
      </c>
      <c r="S760" s="217" t="str">
        <f t="shared" si="261"/>
        <v>FCCS_YTD_Input</v>
      </c>
      <c r="T760" s="217" t="s">
        <v>850</v>
      </c>
    </row>
    <row r="761" spans="2:20" s="371" customFormat="1" x14ac:dyDescent="0.3">
      <c r="B761" s="214" t="s">
        <v>667</v>
      </c>
      <c r="C761" s="214" t="s">
        <v>956</v>
      </c>
      <c r="D761" s="216" t="str">
        <f>[2]!HsSetValue(E761,"FCC","Scenario#"&amp;R761&amp;";Years#"&amp;J761&amp;";Period#"&amp;I761&amp;";View#"&amp;S761&amp;";Entity#"&amp;H761&amp;";Data Source#"&amp;K761&amp;";Account#"&amp;F761&amp;";Intercompany#"&amp;L761&amp;";Movement#"&amp;Q761&amp;";Consolidation#"&amp;T761&amp;";Custom1#"&amp;M761&amp;";Custom2#"&amp;N761&amp;";Custom3#"&amp;O761&amp;";Custom4#"&amp;P761&amp;"")</f>
        <v>#Invalid Syntax</v>
      </c>
      <c r="E761" s="216">
        <f>SUMIFS('Investment Analysis'!$H$22:$H$69,'Investment Analysis'!$E$22:$E$69,"Private Equity",'Investment Analysis'!$AB$22:$AB$69,"2")</f>
        <v>0</v>
      </c>
      <c r="F761" s="217" t="s">
        <v>674</v>
      </c>
      <c r="G761" s="217" t="str">
        <f t="shared" si="257"/>
        <v>Inv. Analysis - Credit Quality Risk - Private Equity</v>
      </c>
      <c r="H761" s="218" t="e">
        <f t="shared" si="258"/>
        <v>#N/A</v>
      </c>
      <c r="I761" s="218" t="str">
        <f t="shared" si="258"/>
        <v>Jun</v>
      </c>
      <c r="J761" s="217" t="str">
        <f t="shared" si="258"/>
        <v>FY25</v>
      </c>
      <c r="K761" s="217" t="str">
        <f t="shared" si="258"/>
        <v>FCCS_Other Data</v>
      </c>
      <c r="L761" s="217" t="str">
        <f t="shared" si="258"/>
        <v>FCCS_No Intercompany</v>
      </c>
      <c r="M761" s="217" t="str">
        <f t="shared" si="259"/>
        <v>No Custom1</v>
      </c>
      <c r="N761" s="217" t="str">
        <f t="shared" si="258"/>
        <v>No Custom2</v>
      </c>
      <c r="O761" s="217" t="s">
        <v>618</v>
      </c>
      <c r="P761" s="217" t="s">
        <v>878</v>
      </c>
      <c r="Q761" s="217" t="str">
        <f t="shared" si="260"/>
        <v>FCCS_ClosingBalance_Input</v>
      </c>
      <c r="R761" s="217" t="str">
        <f t="shared" si="261"/>
        <v>Actual</v>
      </c>
      <c r="S761" s="217" t="str">
        <f t="shared" si="261"/>
        <v>FCCS_YTD_Input</v>
      </c>
      <c r="T761" s="217" t="s">
        <v>850</v>
      </c>
    </row>
    <row r="762" spans="2:20" s="371" customFormat="1" x14ac:dyDescent="0.3">
      <c r="B762" s="214" t="s">
        <v>667</v>
      </c>
      <c r="C762" s="214" t="s">
        <v>956</v>
      </c>
      <c r="D762" s="216" t="str">
        <f>[2]!HsSetValue(E762,"FCC","Scenario#"&amp;R762&amp;";Years#"&amp;J762&amp;";Period#"&amp;I762&amp;";View#"&amp;S762&amp;";Entity#"&amp;H762&amp;";Data Source#"&amp;K762&amp;";Account#"&amp;F762&amp;";Intercompany#"&amp;L762&amp;";Movement#"&amp;Q762&amp;";Consolidation#"&amp;T762&amp;";Custom1#"&amp;M762&amp;";Custom2#"&amp;N762&amp;";Custom3#"&amp;O762&amp;";Custom4#"&amp;P762&amp;"")</f>
        <v>#Invalid Syntax</v>
      </c>
      <c r="E762" s="216">
        <f>SUMIFS('Investment Analysis'!$H$22:$H$69,'Investment Analysis'!$E$22:$E$69,"Private Equity",'Investment Analysis'!$AB$22:$AB$69,"1")</f>
        <v>0</v>
      </c>
      <c r="F762" s="217" t="s">
        <v>674</v>
      </c>
      <c r="G762" s="217" t="str">
        <f t="shared" si="257"/>
        <v>Inv. Analysis - Credit Quality Risk - Private Equity</v>
      </c>
      <c r="H762" s="218" t="e">
        <f t="shared" si="258"/>
        <v>#N/A</v>
      </c>
      <c r="I762" s="218" t="str">
        <f t="shared" si="258"/>
        <v>Jun</v>
      </c>
      <c r="J762" s="217" t="str">
        <f t="shared" si="258"/>
        <v>FY25</v>
      </c>
      <c r="K762" s="217" t="str">
        <f t="shared" si="258"/>
        <v>FCCS_Other Data</v>
      </c>
      <c r="L762" s="217" t="str">
        <f t="shared" si="258"/>
        <v>FCCS_No Intercompany</v>
      </c>
      <c r="M762" s="217" t="str">
        <f t="shared" si="259"/>
        <v>No Custom1</v>
      </c>
      <c r="N762" s="217" t="str">
        <f t="shared" si="258"/>
        <v>No Custom2</v>
      </c>
      <c r="O762" s="217" t="s">
        <v>64</v>
      </c>
      <c r="P762" s="217" t="s">
        <v>878</v>
      </c>
      <c r="Q762" s="217" t="str">
        <f t="shared" si="260"/>
        <v>FCCS_ClosingBalance_Input</v>
      </c>
      <c r="R762" s="217" t="str">
        <f t="shared" si="261"/>
        <v>Actual</v>
      </c>
      <c r="S762" s="217" t="str">
        <f t="shared" si="261"/>
        <v>FCCS_YTD_Input</v>
      </c>
      <c r="T762" s="217" t="s">
        <v>850</v>
      </c>
    </row>
    <row r="763" spans="2:20" x14ac:dyDescent="0.3">
      <c r="B763" s="214" t="s">
        <v>667</v>
      </c>
      <c r="C763" s="214" t="s">
        <v>956</v>
      </c>
      <c r="D763" s="216" t="str">
        <f>[2]!HsSetValue(E763,"FCC","Scenario#"&amp;R763&amp;";Years#"&amp;J763&amp;";Period#"&amp;I763&amp;";View#"&amp;S763&amp;";Entity#"&amp;H763&amp;";Data Source#"&amp;K763&amp;";Account#"&amp;F763&amp;";Intercompany#"&amp;L763&amp;";Movement#"&amp;Q763&amp;";Consolidation#"&amp;T763&amp;";Custom1#"&amp;M763&amp;";Custom2#"&amp;N763&amp;";Custom3#"&amp;O763&amp;";Custom4#"&amp;P763&amp;"")</f>
        <v>#Invalid Syntax</v>
      </c>
      <c r="E763" s="216">
        <f>SUMIFS('Investment Analysis'!$H$22:$H$69,'Investment Analysis'!$E$22:$E$69,"Private Equity",'Investment Analysis'!$AI$22:$AI$69,"16")</f>
        <v>0</v>
      </c>
      <c r="F763" s="217" t="s">
        <v>674</v>
      </c>
      <c r="G763" s="217" t="str">
        <f t="shared" si="257"/>
        <v>Inv. Analysis - Credit Quality Risk - Private Equity</v>
      </c>
      <c r="H763" s="218" t="e">
        <f t="shared" si="258"/>
        <v>#N/A</v>
      </c>
      <c r="I763" s="218" t="str">
        <f t="shared" si="258"/>
        <v>Jun</v>
      </c>
      <c r="J763" s="217" t="str">
        <f t="shared" si="258"/>
        <v>FY25</v>
      </c>
      <c r="K763" s="217" t="str">
        <f t="shared" si="258"/>
        <v>FCCS_Other Data</v>
      </c>
      <c r="L763" s="217" t="str">
        <f t="shared" si="258"/>
        <v>FCCS_No Intercompany</v>
      </c>
      <c r="M763" s="217" t="str">
        <f t="shared" si="259"/>
        <v>No Custom1</v>
      </c>
      <c r="N763" s="217" t="str">
        <f t="shared" si="258"/>
        <v>No Custom2</v>
      </c>
      <c r="O763" s="217" t="s">
        <v>726</v>
      </c>
      <c r="P763" s="217" t="s">
        <v>878</v>
      </c>
      <c r="Q763" s="217" t="str">
        <f t="shared" si="260"/>
        <v>FCCS_ClosingBalance_Input</v>
      </c>
      <c r="R763" s="217" t="str">
        <f t="shared" si="261"/>
        <v>Actual</v>
      </c>
      <c r="S763" s="217" t="str">
        <f t="shared" si="261"/>
        <v>FCCS_YTD_Input</v>
      </c>
      <c r="T763" s="217" t="s">
        <v>850</v>
      </c>
    </row>
    <row r="764" spans="2:20" x14ac:dyDescent="0.3">
      <c r="B764" s="214" t="s">
        <v>667</v>
      </c>
      <c r="C764" s="214" t="s">
        <v>956</v>
      </c>
      <c r="D764" s="216" t="str">
        <f>[2]!HsSetValue(E764,"FCC","Scenario#"&amp;R764&amp;";Years#"&amp;J764&amp;";Period#"&amp;I764&amp;";View#"&amp;S764&amp;";Entity#"&amp;H764&amp;";Data Source#"&amp;K764&amp;";Account#"&amp;F764&amp;";Intercompany#"&amp;L764&amp;";Movement#"&amp;Q764&amp;";Consolidation#"&amp;T764&amp;";Custom1#"&amp;M764&amp;";Custom2#"&amp;N764&amp;";Custom3#"&amp;O764&amp;";Custom4#"&amp;P764&amp;"")</f>
        <v>#Invalid Syntax</v>
      </c>
      <c r="E764" s="216">
        <f>SUMIFS('Investment Analysis'!$H$22:$H$69,'Investment Analysis'!$E$22:$E$69,"Private Equity",'Investment Analysis'!$AI$22:$AI$69,"15")</f>
        <v>0</v>
      </c>
      <c r="F764" s="217" t="s">
        <v>674</v>
      </c>
      <c r="G764" s="217" t="str">
        <f t="shared" si="257"/>
        <v>Inv. Analysis - Credit Quality Risk - Private Equity</v>
      </c>
      <c r="H764" s="218" t="e">
        <f t="shared" si="258"/>
        <v>#N/A</v>
      </c>
      <c r="I764" s="218" t="str">
        <f t="shared" si="258"/>
        <v>Jun</v>
      </c>
      <c r="J764" s="217" t="str">
        <f t="shared" si="258"/>
        <v>FY25</v>
      </c>
      <c r="K764" s="217" t="str">
        <f t="shared" si="258"/>
        <v>FCCS_Other Data</v>
      </c>
      <c r="L764" s="217" t="str">
        <f t="shared" si="258"/>
        <v>FCCS_No Intercompany</v>
      </c>
      <c r="M764" s="217" t="str">
        <f t="shared" si="259"/>
        <v>No Custom1</v>
      </c>
      <c r="N764" s="217" t="str">
        <f t="shared" si="258"/>
        <v>No Custom2</v>
      </c>
      <c r="O764" s="217" t="s">
        <v>727</v>
      </c>
      <c r="P764" s="217" t="s">
        <v>878</v>
      </c>
      <c r="Q764" s="217" t="str">
        <f t="shared" si="260"/>
        <v>FCCS_ClosingBalance_Input</v>
      </c>
      <c r="R764" s="217" t="str">
        <f t="shared" si="261"/>
        <v>Actual</v>
      </c>
      <c r="S764" s="217" t="str">
        <f t="shared" si="261"/>
        <v>FCCS_YTD_Input</v>
      </c>
      <c r="T764" s="217" t="s">
        <v>850</v>
      </c>
    </row>
    <row r="765" spans="2:20" x14ac:dyDescent="0.3">
      <c r="B765" s="214" t="s">
        <v>667</v>
      </c>
      <c r="C765" s="214" t="s">
        <v>956</v>
      </c>
      <c r="D765" s="216" t="str">
        <f>[2]!HsSetValue(E765,"FCC","Scenario#"&amp;R765&amp;";Years#"&amp;J765&amp;";Period#"&amp;I765&amp;";View#"&amp;S765&amp;";Entity#"&amp;H765&amp;";Data Source#"&amp;K765&amp;";Account#"&amp;F765&amp;";Intercompany#"&amp;L765&amp;";Movement#"&amp;Q765&amp;";Consolidation#"&amp;T765&amp;";Custom1#"&amp;M765&amp;";Custom2#"&amp;N765&amp;";Custom3#"&amp;O765&amp;";Custom4#"&amp;P765&amp;"")</f>
        <v>#Invalid Syntax</v>
      </c>
      <c r="E765" s="216">
        <f>SUMIFS('Investment Analysis'!$H$22:$H$69,'Investment Analysis'!$E$22:$E$69,"Private Equity",'Investment Analysis'!$AI$22:$AI$69,"14")</f>
        <v>0</v>
      </c>
      <c r="F765" s="217" t="s">
        <v>674</v>
      </c>
      <c r="G765" s="217" t="str">
        <f t="shared" si="257"/>
        <v>Inv. Analysis - Credit Quality Risk - Private Equity</v>
      </c>
      <c r="H765" s="218" t="e">
        <f t="shared" si="258"/>
        <v>#N/A</v>
      </c>
      <c r="I765" s="218" t="str">
        <f t="shared" si="258"/>
        <v>Jun</v>
      </c>
      <c r="J765" s="217" t="str">
        <f t="shared" si="258"/>
        <v>FY25</v>
      </c>
      <c r="K765" s="217" t="str">
        <f t="shared" si="258"/>
        <v>FCCS_Other Data</v>
      </c>
      <c r="L765" s="217" t="str">
        <f t="shared" si="258"/>
        <v>FCCS_No Intercompany</v>
      </c>
      <c r="M765" s="217" t="str">
        <f t="shared" si="259"/>
        <v>No Custom1</v>
      </c>
      <c r="N765" s="217" t="str">
        <f t="shared" si="258"/>
        <v>No Custom2</v>
      </c>
      <c r="O765" s="217" t="s">
        <v>728</v>
      </c>
      <c r="P765" s="217" t="s">
        <v>878</v>
      </c>
      <c r="Q765" s="217" t="str">
        <f t="shared" si="260"/>
        <v>FCCS_ClosingBalance_Input</v>
      </c>
      <c r="R765" s="217" t="str">
        <f t="shared" si="261"/>
        <v>Actual</v>
      </c>
      <c r="S765" s="217" t="str">
        <f t="shared" si="261"/>
        <v>FCCS_YTD_Input</v>
      </c>
      <c r="T765" s="217" t="s">
        <v>850</v>
      </c>
    </row>
    <row r="766" spans="2:20" x14ac:dyDescent="0.3">
      <c r="B766" s="214" t="s">
        <v>667</v>
      </c>
      <c r="C766" s="214" t="s">
        <v>956</v>
      </c>
      <c r="D766" s="216" t="str">
        <f>[2]!HsSetValue(E766,"FCC","Scenario#"&amp;R766&amp;";Years#"&amp;J766&amp;";Period#"&amp;I766&amp;";View#"&amp;S766&amp;";Entity#"&amp;H766&amp;";Data Source#"&amp;K766&amp;";Account#"&amp;F766&amp;";Intercompany#"&amp;L766&amp;";Movement#"&amp;Q766&amp;";Consolidation#"&amp;T766&amp;";Custom1#"&amp;M766&amp;";Custom2#"&amp;N766&amp;";Custom3#"&amp;O766&amp;";Custom4#"&amp;P766&amp;"")</f>
        <v>#Invalid Syntax</v>
      </c>
      <c r="E766" s="216">
        <f>SUMIFS('Investment Analysis'!$H$22:$H$69,'Investment Analysis'!$E$22:$E$69,"Private Equity",'Investment Analysis'!$AB$22:$AB$69,"0")+SUMIFS('Investment Analysis'!$H$22:$H$69,'Investment Analysis'!$E$22:$E$69,"Private Equity",'Investment Analysis'!$AI$22:$AI$69,"0")</f>
        <v>0</v>
      </c>
      <c r="F766" s="217" t="s">
        <v>674</v>
      </c>
      <c r="G766" s="217" t="str">
        <f t="shared" si="257"/>
        <v>Inv. Analysis - Credit Quality Risk - Private Equity</v>
      </c>
      <c r="H766" s="218" t="e">
        <f t="shared" si="258"/>
        <v>#N/A</v>
      </c>
      <c r="I766" s="218" t="str">
        <f t="shared" si="258"/>
        <v>Jun</v>
      </c>
      <c r="J766" s="217" t="str">
        <f t="shared" si="258"/>
        <v>FY25</v>
      </c>
      <c r="K766" s="217" t="str">
        <f t="shared" si="258"/>
        <v>FCCS_Other Data</v>
      </c>
      <c r="L766" s="217" t="str">
        <f t="shared" si="258"/>
        <v>FCCS_No Intercompany</v>
      </c>
      <c r="M766" s="217" t="str">
        <f t="shared" si="259"/>
        <v>No Custom1</v>
      </c>
      <c r="N766" s="217" t="str">
        <f t="shared" si="258"/>
        <v>No Custom2</v>
      </c>
      <c r="O766" s="217" t="s">
        <v>609</v>
      </c>
      <c r="P766" s="217" t="s">
        <v>878</v>
      </c>
      <c r="Q766" s="217" t="str">
        <f t="shared" si="260"/>
        <v>FCCS_ClosingBalance_Input</v>
      </c>
      <c r="R766" s="217" t="str">
        <f t="shared" si="261"/>
        <v>Actual</v>
      </c>
      <c r="S766" s="217" t="str">
        <f t="shared" si="261"/>
        <v>FCCS_YTD_Input</v>
      </c>
      <c r="T766" s="217" t="s">
        <v>850</v>
      </c>
    </row>
    <row r="767" spans="2:20" x14ac:dyDescent="0.3">
      <c r="B767" s="210"/>
      <c r="C767" s="210"/>
      <c r="D767" s="212"/>
      <c r="E767" s="212"/>
    </row>
    <row r="768" spans="2:20" x14ac:dyDescent="0.3">
      <c r="B768" s="219" t="s">
        <v>1014</v>
      </c>
      <c r="C768" s="219" t="s">
        <v>885</v>
      </c>
      <c r="D768" s="221" t="str">
        <f>[2]!HsSetValue(E768,"FCC","Scenario#"&amp;R768&amp;";Years#"&amp;J768&amp;";Period#"&amp;I768&amp;";View#"&amp;S768&amp;";Entity#"&amp;H768&amp;";Data Source#"&amp;K768&amp;";Account#"&amp;F768&amp;";Intercompany#"&amp;L768&amp;";Movement#"&amp;Q768&amp;";Consolidation#"&amp;T768&amp;";Custom1#"&amp;M768&amp;";Custom2#"&amp;N768&amp;";Custom3#"&amp;O768&amp;";Custom4#"&amp;P768&amp;"")</f>
        <v>#Invalid Syntax</v>
      </c>
      <c r="E768" s="221">
        <f>SUMIFS('Investment Analysis'!$H$22:$H$69,'Investment Analysis'!$E$22:$E$69,"Private Equity",'Investment Analysis'!$AK$22:$AK$69,"21")</f>
        <v>0</v>
      </c>
      <c r="F768" s="222" t="s">
        <v>675</v>
      </c>
      <c r="G768" s="222" t="str">
        <f>"Inv. Analysis -  FV Measurement - "&amp;C768</f>
        <v xml:space="preserve">Inv. Analysis -  FV Measurement - Private Equity   </v>
      </c>
      <c r="H768" s="223" t="e">
        <f>+H$2</f>
        <v>#N/A</v>
      </c>
      <c r="I768" s="223" t="str">
        <f t="shared" ref="I768:I772" si="262">+I$2</f>
        <v>Jun</v>
      </c>
      <c r="J768" s="222" t="str">
        <f>+J$2</f>
        <v>FY25</v>
      </c>
      <c r="K768" s="222" t="s">
        <v>843</v>
      </c>
      <c r="L768" s="222" t="s">
        <v>844</v>
      </c>
      <c r="M768" s="222" t="s">
        <v>845</v>
      </c>
      <c r="N768" s="222" t="s">
        <v>846</v>
      </c>
      <c r="O768" s="222" t="s">
        <v>729</v>
      </c>
      <c r="P768" s="222" t="s">
        <v>878</v>
      </c>
      <c r="Q768" s="222" t="str">
        <f t="shared" ref="Q768:Q772" si="263">Q$2</f>
        <v>FCCS_ClosingBalance_Input</v>
      </c>
      <c r="R768" s="222" t="s">
        <v>169</v>
      </c>
      <c r="S768" s="222" t="s">
        <v>848</v>
      </c>
      <c r="T768" s="222" t="s">
        <v>850</v>
      </c>
    </row>
    <row r="769" spans="2:20" x14ac:dyDescent="0.3">
      <c r="B769" s="219" t="s">
        <v>1014</v>
      </c>
      <c r="C769" s="219" t="s">
        <v>885</v>
      </c>
      <c r="D769" s="221" t="str">
        <f>[2]!HsSetValue(E769,"FCC","Scenario#"&amp;R769&amp;";Years#"&amp;J769&amp;";Period#"&amp;I769&amp;";View#"&amp;S769&amp;";Entity#"&amp;H769&amp;";Data Source#"&amp;K769&amp;";Account#"&amp;F769&amp;";Intercompany#"&amp;L769&amp;";Movement#"&amp;Q769&amp;";Consolidation#"&amp;T769&amp;";Custom1#"&amp;M769&amp;";Custom2#"&amp;N769&amp;";Custom3#"&amp;O769&amp;";Custom4#"&amp;P769&amp;"")</f>
        <v>#Invalid Syntax</v>
      </c>
      <c r="E769" s="221">
        <f>SUMIFS('Investment Analysis'!$H$22:$H$69,'Investment Analysis'!$E$22:$E$69,"Private Equity",'Investment Analysis'!$AK$22:$AK$69,"22")</f>
        <v>0</v>
      </c>
      <c r="F769" s="222" t="s">
        <v>675</v>
      </c>
      <c r="G769" s="222" t="str">
        <f>"Inv. Analysis -  FV Measurement - "&amp;C769</f>
        <v xml:space="preserve">Inv. Analysis -  FV Measurement - Private Equity   </v>
      </c>
      <c r="H769" s="223" t="e">
        <f>+H$2</f>
        <v>#N/A</v>
      </c>
      <c r="I769" s="223" t="str">
        <f t="shared" si="262"/>
        <v>Jun</v>
      </c>
      <c r="J769" s="222" t="str">
        <f>+J$2</f>
        <v>FY25</v>
      </c>
      <c r="K769" s="222" t="str">
        <f t="shared" ref="K769:N772" si="264">+K$2</f>
        <v>FCCS_Other Data</v>
      </c>
      <c r="L769" s="222" t="str">
        <f t="shared" si="264"/>
        <v>FCCS_No Intercompany</v>
      </c>
      <c r="M769" s="222" t="str">
        <f>+M$1</f>
        <v>No Custom1</v>
      </c>
      <c r="N769" s="222" t="str">
        <f t="shared" si="264"/>
        <v>No Custom2</v>
      </c>
      <c r="O769" s="222" t="s">
        <v>730</v>
      </c>
      <c r="P769" s="222" t="s">
        <v>878</v>
      </c>
      <c r="Q769" s="222" t="str">
        <f t="shared" si="263"/>
        <v>FCCS_ClosingBalance_Input</v>
      </c>
      <c r="R769" s="222" t="str">
        <f t="shared" ref="R769:S772" si="265">+R$2</f>
        <v>Actual</v>
      </c>
      <c r="S769" s="222" t="str">
        <f t="shared" si="265"/>
        <v>FCCS_YTD_Input</v>
      </c>
      <c r="T769" s="222" t="s">
        <v>850</v>
      </c>
    </row>
    <row r="770" spans="2:20" x14ac:dyDescent="0.3">
      <c r="B770" s="219" t="s">
        <v>1014</v>
      </c>
      <c r="C770" s="219" t="s">
        <v>885</v>
      </c>
      <c r="D770" s="221" t="str">
        <f>[2]!HsSetValue(E770,"FCC","Scenario#"&amp;R770&amp;";Years#"&amp;J770&amp;";Period#"&amp;I770&amp;";View#"&amp;S770&amp;";Entity#"&amp;H770&amp;";Data Source#"&amp;K770&amp;";Account#"&amp;F770&amp;";Intercompany#"&amp;L770&amp;";Movement#"&amp;Q770&amp;";Consolidation#"&amp;T770&amp;";Custom1#"&amp;M770&amp;";Custom2#"&amp;N770&amp;";Custom3#"&amp;O770&amp;";Custom4#"&amp;P770&amp;"")</f>
        <v>#Invalid Syntax</v>
      </c>
      <c r="E770" s="221">
        <f>SUMIFS('Investment Analysis'!$H$22:$H$69,'Investment Analysis'!$E$22:$E$69,"Private Equity",'Investment Analysis'!$AK$22:$AK$69,"23")</f>
        <v>0</v>
      </c>
      <c r="F770" s="222" t="s">
        <v>675</v>
      </c>
      <c r="G770" s="222" t="str">
        <f>"Inv. Analysis -  FV Measurement - "&amp;C770</f>
        <v xml:space="preserve">Inv. Analysis -  FV Measurement - Private Equity   </v>
      </c>
      <c r="H770" s="223" t="e">
        <f>+H$2</f>
        <v>#N/A</v>
      </c>
      <c r="I770" s="223" t="str">
        <f t="shared" si="262"/>
        <v>Jun</v>
      </c>
      <c r="J770" s="222" t="str">
        <f>+J$2</f>
        <v>FY25</v>
      </c>
      <c r="K770" s="222" t="str">
        <f t="shared" si="264"/>
        <v>FCCS_Other Data</v>
      </c>
      <c r="L770" s="222" t="str">
        <f t="shared" si="264"/>
        <v>FCCS_No Intercompany</v>
      </c>
      <c r="M770" s="222" t="str">
        <f>+M$1</f>
        <v>No Custom1</v>
      </c>
      <c r="N770" s="222" t="str">
        <f t="shared" si="264"/>
        <v>No Custom2</v>
      </c>
      <c r="O770" s="222" t="s">
        <v>731</v>
      </c>
      <c r="P770" s="222" t="s">
        <v>878</v>
      </c>
      <c r="Q770" s="222" t="str">
        <f t="shared" si="263"/>
        <v>FCCS_ClosingBalance_Input</v>
      </c>
      <c r="R770" s="222" t="str">
        <f t="shared" si="265"/>
        <v>Actual</v>
      </c>
      <c r="S770" s="222" t="str">
        <f t="shared" si="265"/>
        <v>FCCS_YTD_Input</v>
      </c>
      <c r="T770" s="222" t="s">
        <v>850</v>
      </c>
    </row>
    <row r="771" spans="2:20" x14ac:dyDescent="0.3">
      <c r="B771" s="219" t="s">
        <v>1014</v>
      </c>
      <c r="C771" s="219" t="s">
        <v>885</v>
      </c>
      <c r="D771" s="221" t="str">
        <f>[2]!HsSetValue(E771,"FCC","Scenario#"&amp;R771&amp;";Years#"&amp;J771&amp;";Period#"&amp;I771&amp;";View#"&amp;S771&amp;";Entity#"&amp;H771&amp;";Data Source#"&amp;K771&amp;";Account#"&amp;F771&amp;";Intercompany#"&amp;L771&amp;";Movement#"&amp;Q771&amp;";Consolidation#"&amp;T771&amp;";Custom1#"&amp;M771&amp;";Custom2#"&amp;N771&amp;";Custom3#"&amp;O771&amp;";Custom4#"&amp;P771&amp;"")</f>
        <v>#Invalid Syntax</v>
      </c>
      <c r="E771" s="221">
        <f>SUMIFS('Investment Analysis'!$H$22:$H$69,'Investment Analysis'!$E$22:$E$69,"Private Equity",'Investment Analysis'!$AK$22:$AK$69,"24")</f>
        <v>0</v>
      </c>
      <c r="F771" s="222" t="s">
        <v>675</v>
      </c>
      <c r="G771" s="222" t="str">
        <f>"Inv. Analysis -  FV Measurement - "&amp;C771</f>
        <v xml:space="preserve">Inv. Analysis -  FV Measurement - Private Equity   </v>
      </c>
      <c r="H771" s="223" t="e">
        <f>+H$2</f>
        <v>#N/A</v>
      </c>
      <c r="I771" s="223" t="str">
        <f t="shared" si="262"/>
        <v>Jun</v>
      </c>
      <c r="J771" s="222" t="str">
        <f>+J$2</f>
        <v>FY25</v>
      </c>
      <c r="K771" s="222" t="str">
        <f t="shared" si="264"/>
        <v>FCCS_Other Data</v>
      </c>
      <c r="L771" s="222" t="str">
        <f t="shared" si="264"/>
        <v>FCCS_No Intercompany</v>
      </c>
      <c r="M771" s="222" t="str">
        <f>+M$1</f>
        <v>No Custom1</v>
      </c>
      <c r="N771" s="222" t="str">
        <f t="shared" si="264"/>
        <v>No Custom2</v>
      </c>
      <c r="O771" s="222" t="s">
        <v>732</v>
      </c>
      <c r="P771" s="222" t="s">
        <v>878</v>
      </c>
      <c r="Q771" s="222" t="str">
        <f t="shared" si="263"/>
        <v>FCCS_ClosingBalance_Input</v>
      </c>
      <c r="R771" s="222" t="str">
        <f t="shared" si="265"/>
        <v>Actual</v>
      </c>
      <c r="S771" s="222" t="str">
        <f t="shared" si="265"/>
        <v>FCCS_YTD_Input</v>
      </c>
      <c r="T771" s="222" t="s">
        <v>850</v>
      </c>
    </row>
    <row r="772" spans="2:20" x14ac:dyDescent="0.3">
      <c r="B772" s="219" t="s">
        <v>1014</v>
      </c>
      <c r="C772" s="219" t="s">
        <v>885</v>
      </c>
      <c r="D772" s="221" t="str">
        <f>[2]!HsSetValue(E772,"FCC","Scenario#"&amp;R772&amp;";Years#"&amp;J772&amp;";Period#"&amp;I772&amp;";View#"&amp;S772&amp;";Entity#"&amp;H772&amp;";Data Source#"&amp;K772&amp;";Account#"&amp;F772&amp;";Intercompany#"&amp;L772&amp;";Movement#"&amp;Q772&amp;";Consolidation#"&amp;T772&amp;";Custom1#"&amp;M772&amp;";Custom2#"&amp;N772&amp;";Custom3#"&amp;O772&amp;";Custom4#"&amp;P772&amp;"")</f>
        <v>#Invalid Syntax</v>
      </c>
      <c r="E772" s="221">
        <f>SUMIFS('Investment Analysis'!$H$22:$H$69,'Investment Analysis'!$E$22:$E$69,"Private Equity",'Investment Analysis'!$AK$22:$AK$69,"25")</f>
        <v>0</v>
      </c>
      <c r="F772" s="222" t="s">
        <v>675</v>
      </c>
      <c r="G772" s="222" t="str">
        <f>"Inv. Analysis -  FV Measurement - "&amp;C772</f>
        <v xml:space="preserve">Inv. Analysis -  FV Measurement - Private Equity   </v>
      </c>
      <c r="H772" s="223" t="e">
        <f>+H$2</f>
        <v>#N/A</v>
      </c>
      <c r="I772" s="223" t="str">
        <f t="shared" si="262"/>
        <v>Jun</v>
      </c>
      <c r="J772" s="222" t="str">
        <f>+J$2</f>
        <v>FY25</v>
      </c>
      <c r="K772" s="222" t="str">
        <f t="shared" si="264"/>
        <v>FCCS_Other Data</v>
      </c>
      <c r="L772" s="222" t="str">
        <f t="shared" si="264"/>
        <v>FCCS_No Intercompany</v>
      </c>
      <c r="M772" s="222" t="str">
        <f>+M$1</f>
        <v>No Custom1</v>
      </c>
      <c r="N772" s="222" t="str">
        <f t="shared" si="264"/>
        <v>No Custom2</v>
      </c>
      <c r="O772" s="222" t="s">
        <v>733</v>
      </c>
      <c r="P772" s="222" t="s">
        <v>878</v>
      </c>
      <c r="Q772" s="222" t="str">
        <f t="shared" si="263"/>
        <v>FCCS_ClosingBalance_Input</v>
      </c>
      <c r="R772" s="222" t="str">
        <f t="shared" si="265"/>
        <v>Actual</v>
      </c>
      <c r="S772" s="222" t="str">
        <f t="shared" si="265"/>
        <v>FCCS_YTD_Input</v>
      </c>
      <c r="T772" s="222" t="s">
        <v>850</v>
      </c>
    </row>
    <row r="773" spans="2:20" outlineLevel="1" x14ac:dyDescent="0.3">
      <c r="B773" s="224"/>
      <c r="C773" s="224"/>
      <c r="D773" s="212"/>
      <c r="E773" s="212"/>
    </row>
    <row r="774" spans="2:20" x14ac:dyDescent="0.3">
      <c r="B774" s="364" t="s">
        <v>668</v>
      </c>
      <c r="C774" s="365" t="s">
        <v>409</v>
      </c>
      <c r="D774" s="366" t="str">
        <f>[2]!HsSetValue(E774,"FCC","Scenario#"&amp;R774&amp;";Years#"&amp;J774&amp;";Period#"&amp;I774&amp;";View#"&amp;S774&amp;";Entity#"&amp;H774&amp;";Data Source#"&amp;K774&amp;";Account#"&amp;F774&amp;";Intercompany#"&amp;L774&amp;";Movement#"&amp;Q774&amp;";Consolidation#"&amp;T774&amp;";Custom1#"&amp;M774&amp;";Custom2#"&amp;N774&amp;";Custom3#"&amp;O774&amp;";Custom4#"&amp;P774&amp;"")</f>
        <v>#Invalid Syntax</v>
      </c>
      <c r="E774" s="366">
        <f>SUMIF('Investment Analysis'!$E$22:$E$69,'FCC Investments - Load Tab'!C774,'Investment Analysis'!$K$22:$K$69)</f>
        <v>0</v>
      </c>
      <c r="F774" s="367" t="s">
        <v>673</v>
      </c>
      <c r="G774" s="367" t="s">
        <v>794</v>
      </c>
      <c r="H774" s="368" t="e">
        <f>+H$2</f>
        <v>#N/A</v>
      </c>
      <c r="I774" s="368" t="str">
        <f t="shared" ref="I774:I778" si="266">+I$2</f>
        <v>Jun</v>
      </c>
      <c r="J774" s="367" t="str">
        <f t="shared" si="228"/>
        <v>FY25</v>
      </c>
      <c r="K774" s="367" t="s">
        <v>843</v>
      </c>
      <c r="L774" s="367" t="s">
        <v>844</v>
      </c>
      <c r="M774" s="367" t="s">
        <v>845</v>
      </c>
      <c r="N774" s="367" t="s">
        <v>846</v>
      </c>
      <c r="O774" s="367" t="s">
        <v>721</v>
      </c>
      <c r="P774" s="367" t="s">
        <v>578</v>
      </c>
      <c r="Q774" s="367" t="str">
        <f t="shared" ref="Q774:Q778" si="267">Q$2</f>
        <v>FCCS_ClosingBalance_Input</v>
      </c>
      <c r="R774" s="367" t="s">
        <v>169</v>
      </c>
      <c r="S774" s="367" t="s">
        <v>848</v>
      </c>
      <c r="T774" s="367" t="s">
        <v>850</v>
      </c>
    </row>
    <row r="775" spans="2:20" x14ac:dyDescent="0.3">
      <c r="B775" s="364" t="s">
        <v>668</v>
      </c>
      <c r="C775" s="365" t="s">
        <v>409</v>
      </c>
      <c r="D775" s="366" t="str">
        <f>[2]!HsSetValue(E775,"FCC","Scenario#"&amp;R775&amp;";Years#"&amp;J775&amp;";Period#"&amp;I775&amp;";View#"&amp;S775&amp;";Entity#"&amp;H775&amp;";Data Source#"&amp;K775&amp;";Account#"&amp;F775&amp;";Intercompany#"&amp;L775&amp;";Movement#"&amp;Q775&amp;";Consolidation#"&amp;T775&amp;";Custom1#"&amp;M775&amp;";Custom2#"&amp;N775&amp;";Custom3#"&amp;O775&amp;";Custom4#"&amp;P775&amp;"")</f>
        <v>#Invalid Syntax</v>
      </c>
      <c r="E775" s="366">
        <f>SUMIF('Investment Analysis'!$E$22:$E$69,'FCC Investments - Load Tab'!C774,'Investment Analysis'!$L$22:$L$69)</f>
        <v>0</v>
      </c>
      <c r="F775" s="367" t="s">
        <v>673</v>
      </c>
      <c r="G775" s="367" t="s">
        <v>794</v>
      </c>
      <c r="H775" s="368" t="e">
        <f>+H$2</f>
        <v>#N/A</v>
      </c>
      <c r="I775" s="368" t="str">
        <f t="shared" si="266"/>
        <v>Jun</v>
      </c>
      <c r="J775" s="367" t="str">
        <f t="shared" si="228"/>
        <v>FY25</v>
      </c>
      <c r="K775" s="367" t="s">
        <v>843</v>
      </c>
      <c r="L775" s="367" t="s">
        <v>844</v>
      </c>
      <c r="M775" s="367" t="s">
        <v>845</v>
      </c>
      <c r="N775" s="367" t="s">
        <v>846</v>
      </c>
      <c r="O775" s="367" t="s">
        <v>722</v>
      </c>
      <c r="P775" s="367" t="s">
        <v>578</v>
      </c>
      <c r="Q775" s="367" t="str">
        <f t="shared" si="267"/>
        <v>FCCS_ClosingBalance_Input</v>
      </c>
      <c r="R775" s="367" t="s">
        <v>169</v>
      </c>
      <c r="S775" s="367" t="s">
        <v>848</v>
      </c>
      <c r="T775" s="367" t="s">
        <v>850</v>
      </c>
    </row>
    <row r="776" spans="2:20" x14ac:dyDescent="0.3">
      <c r="B776" s="364" t="s">
        <v>668</v>
      </c>
      <c r="C776" s="365" t="s">
        <v>409</v>
      </c>
      <c r="D776" s="366" t="str">
        <f>[2]!HsSetValue(E776,"FCC","Scenario#"&amp;R776&amp;";Years#"&amp;J776&amp;";Period#"&amp;I776&amp;";View#"&amp;S776&amp;";Entity#"&amp;H776&amp;";Data Source#"&amp;K776&amp;";Account#"&amp;F776&amp;";Intercompany#"&amp;L776&amp;";Movement#"&amp;Q776&amp;";Consolidation#"&amp;T776&amp;";Custom1#"&amp;M776&amp;";Custom2#"&amp;N776&amp;";Custom3#"&amp;O776&amp;";Custom4#"&amp;P776&amp;"")</f>
        <v>#Invalid Syntax</v>
      </c>
      <c r="E776" s="366">
        <f>SUMIF('Investment Analysis'!$E$22:$E$69,'FCC Investments - Load Tab'!C774,'Investment Analysis'!$M$22:$M$69)</f>
        <v>0</v>
      </c>
      <c r="F776" s="367" t="s">
        <v>673</v>
      </c>
      <c r="G776" s="367" t="s">
        <v>794</v>
      </c>
      <c r="H776" s="368" t="e">
        <f>+H$2</f>
        <v>#N/A</v>
      </c>
      <c r="I776" s="368" t="str">
        <f t="shared" si="266"/>
        <v>Jun</v>
      </c>
      <c r="J776" s="367" t="str">
        <f t="shared" si="228"/>
        <v>FY25</v>
      </c>
      <c r="K776" s="367" t="s">
        <v>843</v>
      </c>
      <c r="L776" s="367" t="s">
        <v>844</v>
      </c>
      <c r="M776" s="367" t="s">
        <v>845</v>
      </c>
      <c r="N776" s="367" t="s">
        <v>846</v>
      </c>
      <c r="O776" s="367" t="s">
        <v>723</v>
      </c>
      <c r="P776" s="367" t="s">
        <v>578</v>
      </c>
      <c r="Q776" s="367" t="str">
        <f t="shared" si="267"/>
        <v>FCCS_ClosingBalance_Input</v>
      </c>
      <c r="R776" s="367" t="s">
        <v>169</v>
      </c>
      <c r="S776" s="367" t="s">
        <v>848</v>
      </c>
      <c r="T776" s="367" t="s">
        <v>850</v>
      </c>
    </row>
    <row r="777" spans="2:20" x14ac:dyDescent="0.3">
      <c r="B777" s="364" t="s">
        <v>668</v>
      </c>
      <c r="C777" s="365" t="s">
        <v>409</v>
      </c>
      <c r="D777" s="366" t="str">
        <f>[2]!HsSetValue(E777,"FCC","Scenario#"&amp;R777&amp;";Years#"&amp;J777&amp;";Period#"&amp;I777&amp;";View#"&amp;S777&amp;";Entity#"&amp;H777&amp;";Data Source#"&amp;K777&amp;";Account#"&amp;F777&amp;";Intercompany#"&amp;L777&amp;";Movement#"&amp;Q777&amp;";Consolidation#"&amp;T777&amp;";Custom1#"&amp;M777&amp;";Custom2#"&amp;N777&amp;";Custom3#"&amp;O777&amp;";Custom4#"&amp;P777&amp;"")</f>
        <v>#Invalid Syntax</v>
      </c>
      <c r="E777" s="366">
        <f>SUMIF('Investment Analysis'!$E$22:$E$69,'FCC Investments - Load Tab'!C777,'Investment Analysis'!$N$22:$N$69)</f>
        <v>0</v>
      </c>
      <c r="F777" s="367" t="s">
        <v>673</v>
      </c>
      <c r="G777" s="367" t="s">
        <v>794</v>
      </c>
      <c r="H777" s="368" t="e">
        <f>+H$2</f>
        <v>#N/A</v>
      </c>
      <c r="I777" s="368" t="str">
        <f t="shared" si="266"/>
        <v>Jun</v>
      </c>
      <c r="J777" s="367" t="str">
        <f t="shared" si="228"/>
        <v>FY25</v>
      </c>
      <c r="K777" s="367" t="s">
        <v>843</v>
      </c>
      <c r="L777" s="367" t="s">
        <v>844</v>
      </c>
      <c r="M777" s="367" t="s">
        <v>845</v>
      </c>
      <c r="N777" s="367" t="s">
        <v>846</v>
      </c>
      <c r="O777" s="367" t="s">
        <v>724</v>
      </c>
      <c r="P777" s="367" t="s">
        <v>578</v>
      </c>
      <c r="Q777" s="367" t="str">
        <f t="shared" si="267"/>
        <v>FCCS_ClosingBalance_Input</v>
      </c>
      <c r="R777" s="367" t="s">
        <v>169</v>
      </c>
      <c r="S777" s="367" t="s">
        <v>848</v>
      </c>
      <c r="T777" s="367" t="s">
        <v>850</v>
      </c>
    </row>
    <row r="778" spans="2:20" x14ac:dyDescent="0.3">
      <c r="B778" s="364" t="s">
        <v>668</v>
      </c>
      <c r="C778" s="365" t="s">
        <v>409</v>
      </c>
      <c r="D778" s="366" t="str">
        <f>[2]!HsSetValue(E778,"FCC","Scenario#"&amp;R778&amp;";Years#"&amp;J778&amp;";Period#"&amp;I778&amp;";View#"&amp;S778&amp;";Entity#"&amp;H778&amp;";Data Source#"&amp;K778&amp;";Account#"&amp;F778&amp;";Intercompany#"&amp;L778&amp;";Movement#"&amp;Q778&amp;";Consolidation#"&amp;T778&amp;";Custom1#"&amp;M778&amp;";Custom2#"&amp;N778&amp;";Custom3#"&amp;O778&amp;";Custom4#"&amp;P778&amp;"")</f>
        <v>#Invalid Syntax</v>
      </c>
      <c r="E778" s="366">
        <f>SUMIF('Investment Analysis'!$E$2:$E$69,'FCC Investments - Load Tab'!C778,'Investment Analysis'!$O$2:$O$69)</f>
        <v>0</v>
      </c>
      <c r="F778" s="367" t="s">
        <v>673</v>
      </c>
      <c r="G778" s="367" t="s">
        <v>794</v>
      </c>
      <c r="H778" s="368" t="e">
        <f>+H$2</f>
        <v>#N/A</v>
      </c>
      <c r="I778" s="368" t="str">
        <f t="shared" si="266"/>
        <v>Jun</v>
      </c>
      <c r="J778" s="367" t="str">
        <f t="shared" si="228"/>
        <v>FY25</v>
      </c>
      <c r="K778" s="367" t="s">
        <v>843</v>
      </c>
      <c r="L778" s="367" t="s">
        <v>844</v>
      </c>
      <c r="M778" s="367" t="s">
        <v>845</v>
      </c>
      <c r="N778" s="367" t="s">
        <v>846</v>
      </c>
      <c r="O778" s="367" t="s">
        <v>725</v>
      </c>
      <c r="P778" s="367" t="s">
        <v>578</v>
      </c>
      <c r="Q778" s="367" t="str">
        <f t="shared" si="267"/>
        <v>FCCS_ClosingBalance_Input</v>
      </c>
      <c r="R778" s="367" t="s">
        <v>169</v>
      </c>
      <c r="S778" s="367" t="s">
        <v>848</v>
      </c>
      <c r="T778" s="367" t="s">
        <v>850</v>
      </c>
    </row>
    <row r="779" spans="2:20" outlineLevel="1" x14ac:dyDescent="0.3">
      <c r="B779" s="224"/>
      <c r="C779" s="224"/>
      <c r="D779" s="212"/>
      <c r="E779" s="212"/>
    </row>
    <row r="780" spans="2:20" x14ac:dyDescent="0.3">
      <c r="B780" s="214" t="s">
        <v>667</v>
      </c>
      <c r="C780" s="215" t="s">
        <v>409</v>
      </c>
      <c r="D780" s="216" t="str">
        <f>[2]!HsSetValue(E780,"FCC","Scenario#"&amp;R780&amp;";Years#"&amp;J780&amp;";Period#"&amp;I780&amp;";View#"&amp;S780&amp;";Entity#"&amp;H780&amp;";Data Source#"&amp;K780&amp;";Account#"&amp;F780&amp;";Intercompany#"&amp;L780&amp;";Movement#"&amp;Q780&amp;";Consolidation#"&amp;T780&amp;";Custom1#"&amp;M780&amp;";Custom2#"&amp;N780&amp;";Custom3#"&amp;O780&amp;";Custom4#"&amp;P780&amp;"")</f>
        <v>#Invalid Syntax</v>
      </c>
      <c r="E780" s="216">
        <f>SUMIFS('Investment Analysis'!$H$22:$H$69,'Investment Analysis'!$E$22:$E$69,"Real Estate Investments",'Investment Analysis'!$AB$22:$AB$69,"10")</f>
        <v>0</v>
      </c>
      <c r="F780" s="217" t="s">
        <v>674</v>
      </c>
      <c r="G780" s="217" t="s">
        <v>1066</v>
      </c>
      <c r="H780" s="218" t="e">
        <f t="shared" ref="H780:N795" si="268">+H$2</f>
        <v>#N/A</v>
      </c>
      <c r="I780" s="218" t="str">
        <f t="shared" si="268"/>
        <v>Jun</v>
      </c>
      <c r="J780" s="217" t="str">
        <f t="shared" si="228"/>
        <v>FY25</v>
      </c>
      <c r="K780" s="217" t="s">
        <v>843</v>
      </c>
      <c r="L780" s="217" t="s">
        <v>844</v>
      </c>
      <c r="M780" s="217" t="s">
        <v>845</v>
      </c>
      <c r="N780" s="217" t="s">
        <v>846</v>
      </c>
      <c r="O780" s="217" t="s">
        <v>433</v>
      </c>
      <c r="P780" s="217" t="s">
        <v>578</v>
      </c>
      <c r="Q780" s="217" t="str">
        <f t="shared" ref="Q780:Q793" si="269">Q$2</f>
        <v>FCCS_ClosingBalance_Input</v>
      </c>
      <c r="R780" s="217" t="s">
        <v>169</v>
      </c>
      <c r="S780" s="217" t="s">
        <v>848</v>
      </c>
      <c r="T780" s="217" t="s">
        <v>850</v>
      </c>
    </row>
    <row r="781" spans="2:20" x14ac:dyDescent="0.3">
      <c r="B781" s="214" t="s">
        <v>667</v>
      </c>
      <c r="C781" s="215" t="s">
        <v>409</v>
      </c>
      <c r="D781" s="216" t="str">
        <f>[2]!HsSetValue(E781,"FCC","Scenario#"&amp;R781&amp;";Years#"&amp;J781&amp;";Period#"&amp;I781&amp;";View#"&amp;S781&amp;";Entity#"&amp;H781&amp;";Data Source#"&amp;K781&amp;";Account#"&amp;F781&amp;";Intercompany#"&amp;L781&amp;";Movement#"&amp;Q781&amp;";Consolidation#"&amp;T781&amp;";Custom1#"&amp;M781&amp;";Custom2#"&amp;N781&amp;";Custom3#"&amp;O781&amp;";Custom4#"&amp;P781&amp;"")</f>
        <v>#Invalid Syntax</v>
      </c>
      <c r="E781" s="216">
        <f>SUMIFS('Investment Analysis'!$H$22:$H$69,'Investment Analysis'!$E$22:$E$69,"Real Estate Investments",'Investment Analysis'!$AB$22:$AB$69,"9")</f>
        <v>0</v>
      </c>
      <c r="F781" s="217" t="s">
        <v>674</v>
      </c>
      <c r="G781" s="217" t="s">
        <v>1066</v>
      </c>
      <c r="H781" s="218" t="e">
        <f t="shared" si="268"/>
        <v>#N/A</v>
      </c>
      <c r="I781" s="218" t="str">
        <f t="shared" si="268"/>
        <v>Jun</v>
      </c>
      <c r="J781" s="217" t="str">
        <f t="shared" si="228"/>
        <v>FY25</v>
      </c>
      <c r="K781" s="217" t="s">
        <v>843</v>
      </c>
      <c r="L781" s="217" t="s">
        <v>844</v>
      </c>
      <c r="M781" s="217" t="s">
        <v>845</v>
      </c>
      <c r="N781" s="217" t="s">
        <v>846</v>
      </c>
      <c r="O781" s="217" t="s">
        <v>596</v>
      </c>
      <c r="P781" s="217" t="s">
        <v>578</v>
      </c>
      <c r="Q781" s="217" t="str">
        <f t="shared" si="269"/>
        <v>FCCS_ClosingBalance_Input</v>
      </c>
      <c r="R781" s="217" t="s">
        <v>169</v>
      </c>
      <c r="S781" s="217" t="s">
        <v>848</v>
      </c>
      <c r="T781" s="217" t="s">
        <v>850</v>
      </c>
    </row>
    <row r="782" spans="2:20" x14ac:dyDescent="0.3">
      <c r="B782" s="214" t="s">
        <v>667</v>
      </c>
      <c r="C782" s="215" t="s">
        <v>409</v>
      </c>
      <c r="D782" s="216" t="str">
        <f>[2]!HsSetValue(E782,"FCC","Scenario#"&amp;R782&amp;";Years#"&amp;J782&amp;";Period#"&amp;I782&amp;";View#"&amp;S782&amp;";Entity#"&amp;H782&amp;";Data Source#"&amp;K782&amp;";Account#"&amp;F782&amp;";Intercompany#"&amp;L782&amp;";Movement#"&amp;Q782&amp;";Consolidation#"&amp;T782&amp;";Custom1#"&amp;M782&amp;";Custom2#"&amp;N782&amp;";Custom3#"&amp;O782&amp;";Custom4#"&amp;P782&amp;"")</f>
        <v>#Invalid Syntax</v>
      </c>
      <c r="E782" s="216">
        <f>SUMIFS('Investment Analysis'!$H$22:$H$69,'Investment Analysis'!$E$22:$E$69,"Real Estate Investments",'Investment Analysis'!$AB$22:$AB$69,"8")</f>
        <v>0</v>
      </c>
      <c r="F782" s="217" t="s">
        <v>674</v>
      </c>
      <c r="G782" s="217" t="s">
        <v>1066</v>
      </c>
      <c r="H782" s="218" t="e">
        <f t="shared" si="268"/>
        <v>#N/A</v>
      </c>
      <c r="I782" s="218" t="str">
        <f t="shared" si="268"/>
        <v>Jun</v>
      </c>
      <c r="J782" s="217" t="str">
        <f t="shared" si="228"/>
        <v>FY25</v>
      </c>
      <c r="K782" s="217" t="s">
        <v>843</v>
      </c>
      <c r="L782" s="217" t="s">
        <v>844</v>
      </c>
      <c r="M782" s="217" t="s">
        <v>845</v>
      </c>
      <c r="N782" s="217" t="s">
        <v>846</v>
      </c>
      <c r="O782" s="217" t="s">
        <v>61</v>
      </c>
      <c r="P782" s="217" t="s">
        <v>578</v>
      </c>
      <c r="Q782" s="217" t="str">
        <f t="shared" si="269"/>
        <v>FCCS_ClosingBalance_Input</v>
      </c>
      <c r="R782" s="217" t="s">
        <v>169</v>
      </c>
      <c r="S782" s="217" t="s">
        <v>848</v>
      </c>
      <c r="T782" s="217" t="s">
        <v>850</v>
      </c>
    </row>
    <row r="783" spans="2:20" x14ac:dyDescent="0.3">
      <c r="B783" s="214" t="s">
        <v>667</v>
      </c>
      <c r="C783" s="215" t="s">
        <v>409</v>
      </c>
      <c r="D783" s="216" t="str">
        <f>[2]!HsSetValue(E783,"FCC","Scenario#"&amp;R783&amp;";Years#"&amp;J783&amp;";Period#"&amp;I783&amp;";View#"&amp;S783&amp;";Entity#"&amp;H783&amp;";Data Source#"&amp;K783&amp;";Account#"&amp;F783&amp;";Intercompany#"&amp;L783&amp;";Movement#"&amp;Q783&amp;";Consolidation#"&amp;T783&amp;";Custom1#"&amp;M783&amp;";Custom2#"&amp;N783&amp;";Custom3#"&amp;O783&amp;";Custom4#"&amp;P783&amp;"")</f>
        <v>#Invalid Syntax</v>
      </c>
      <c r="E783" s="216">
        <f>SUMIFS('Investment Analysis'!$H$22:$H$69,'Investment Analysis'!$E$22:$E$69,"Real Estate Investments",'Investment Analysis'!$AB$22:$AB$69,"7")</f>
        <v>0</v>
      </c>
      <c r="F783" s="217" t="s">
        <v>674</v>
      </c>
      <c r="G783" s="217" t="s">
        <v>1066</v>
      </c>
      <c r="H783" s="218" t="e">
        <f t="shared" si="268"/>
        <v>#N/A</v>
      </c>
      <c r="I783" s="218" t="str">
        <f t="shared" si="268"/>
        <v>Jun</v>
      </c>
      <c r="J783" s="217" t="str">
        <f t="shared" si="228"/>
        <v>FY25</v>
      </c>
      <c r="K783" s="217" t="s">
        <v>843</v>
      </c>
      <c r="L783" s="217" t="s">
        <v>844</v>
      </c>
      <c r="M783" s="217" t="s">
        <v>845</v>
      </c>
      <c r="N783" s="217" t="s">
        <v>846</v>
      </c>
      <c r="O783" s="217" t="s">
        <v>62</v>
      </c>
      <c r="P783" s="217" t="s">
        <v>578</v>
      </c>
      <c r="Q783" s="217" t="str">
        <f t="shared" si="269"/>
        <v>FCCS_ClosingBalance_Input</v>
      </c>
      <c r="R783" s="217" t="s">
        <v>169</v>
      </c>
      <c r="S783" s="217" t="s">
        <v>848</v>
      </c>
      <c r="T783" s="217" t="s">
        <v>850</v>
      </c>
    </row>
    <row r="784" spans="2:20" x14ac:dyDescent="0.3">
      <c r="B784" s="214" t="s">
        <v>667</v>
      </c>
      <c r="C784" s="215" t="s">
        <v>409</v>
      </c>
      <c r="D784" s="216" t="str">
        <f>[2]!HsSetValue(E784,"FCC","Scenario#"&amp;R784&amp;";Years#"&amp;J784&amp;";Period#"&amp;I784&amp;";View#"&amp;S784&amp;";Entity#"&amp;H784&amp;";Data Source#"&amp;K784&amp;";Account#"&amp;F784&amp;";Intercompany#"&amp;L784&amp;";Movement#"&amp;Q784&amp;";Consolidation#"&amp;T784&amp;";Custom1#"&amp;M784&amp;";Custom2#"&amp;N784&amp;";Custom3#"&amp;O784&amp;";Custom4#"&amp;P784&amp;"")</f>
        <v>#Invalid Syntax</v>
      </c>
      <c r="E784" s="216">
        <f>SUMIFS('Investment Analysis'!$H$22:$H$69,'Investment Analysis'!$E$22:$E$69,"Real Estate Investments",'Investment Analysis'!$AB$22:$AB$69,"6")</f>
        <v>0</v>
      </c>
      <c r="F784" s="217" t="s">
        <v>674</v>
      </c>
      <c r="G784" s="217" t="s">
        <v>1066</v>
      </c>
      <c r="H784" s="218" t="e">
        <f t="shared" si="268"/>
        <v>#N/A</v>
      </c>
      <c r="I784" s="218" t="str">
        <f t="shared" si="268"/>
        <v>Jun</v>
      </c>
      <c r="J784" s="217" t="str">
        <f t="shared" si="268"/>
        <v>FY25</v>
      </c>
      <c r="K784" s="217" t="s">
        <v>843</v>
      </c>
      <c r="L784" s="217" t="s">
        <v>844</v>
      </c>
      <c r="M784" s="217" t="s">
        <v>845</v>
      </c>
      <c r="N784" s="217" t="s">
        <v>846</v>
      </c>
      <c r="O784" s="217" t="s">
        <v>436</v>
      </c>
      <c r="P784" s="217" t="s">
        <v>578</v>
      </c>
      <c r="Q784" s="217" t="str">
        <f t="shared" si="269"/>
        <v>FCCS_ClosingBalance_Input</v>
      </c>
      <c r="R784" s="217" t="s">
        <v>169</v>
      </c>
      <c r="S784" s="217" t="s">
        <v>848</v>
      </c>
      <c r="T784" s="217" t="s">
        <v>850</v>
      </c>
    </row>
    <row r="785" spans="2:20" s="371" customFormat="1" x14ac:dyDescent="0.3">
      <c r="B785" s="214" t="s">
        <v>667</v>
      </c>
      <c r="C785" s="215" t="s">
        <v>409</v>
      </c>
      <c r="D785" s="216" t="str">
        <f>[2]!HsSetValue(E785,"FCC","Scenario#"&amp;R785&amp;";Years#"&amp;J785&amp;";Period#"&amp;I785&amp;";View#"&amp;S785&amp;";Entity#"&amp;H785&amp;";Data Source#"&amp;K785&amp;";Account#"&amp;F785&amp;";Intercompany#"&amp;L785&amp;";Movement#"&amp;Q785&amp;";Consolidation#"&amp;T785&amp;";Custom1#"&amp;M785&amp;";Custom2#"&amp;N785&amp;";Custom3#"&amp;O785&amp;";Custom4#"&amp;P785&amp;"")</f>
        <v>#Invalid Syntax</v>
      </c>
      <c r="E785" s="216">
        <f>SUMIFS('Investment Analysis'!$H$22:$H$69,'Investment Analysis'!$E$22:$E$69,"Real Estate Investments",'Investment Analysis'!$AB$22:$AB$69,"5")</f>
        <v>0</v>
      </c>
      <c r="F785" s="217" t="s">
        <v>674</v>
      </c>
      <c r="G785" s="217" t="s">
        <v>1066</v>
      </c>
      <c r="H785" s="218" t="e">
        <f t="shared" si="268"/>
        <v>#N/A</v>
      </c>
      <c r="I785" s="218" t="str">
        <f t="shared" si="268"/>
        <v>Jun</v>
      </c>
      <c r="J785" s="217" t="str">
        <f t="shared" si="268"/>
        <v>FY25</v>
      </c>
      <c r="K785" s="217" t="str">
        <f t="shared" si="268"/>
        <v>FCCS_Other Data</v>
      </c>
      <c r="L785" s="217" t="str">
        <f t="shared" si="268"/>
        <v>FCCS_No Intercompany</v>
      </c>
      <c r="M785" s="217" t="str">
        <f>+M$1</f>
        <v>No Custom1</v>
      </c>
      <c r="N785" s="217" t="str">
        <f t="shared" si="268"/>
        <v>No Custom2</v>
      </c>
      <c r="O785" s="217" t="s">
        <v>434</v>
      </c>
      <c r="P785" s="217" t="s">
        <v>578</v>
      </c>
      <c r="Q785" s="217" t="str">
        <f t="shared" si="269"/>
        <v>FCCS_ClosingBalance_Input</v>
      </c>
      <c r="R785" s="217" t="str">
        <f t="shared" ref="R785:S789" si="270">+R$2</f>
        <v>Actual</v>
      </c>
      <c r="S785" s="217" t="str">
        <f t="shared" si="270"/>
        <v>FCCS_YTD_Input</v>
      </c>
      <c r="T785" s="217" t="s">
        <v>850</v>
      </c>
    </row>
    <row r="786" spans="2:20" s="371" customFormat="1" x14ac:dyDescent="0.3">
      <c r="B786" s="214" t="s">
        <v>667</v>
      </c>
      <c r="C786" s="215" t="s">
        <v>409</v>
      </c>
      <c r="D786" s="216" t="str">
        <f>[2]!HsSetValue(E786,"FCC","Scenario#"&amp;R786&amp;";Years#"&amp;J786&amp;";Period#"&amp;I786&amp;";View#"&amp;S786&amp;";Entity#"&amp;H786&amp;";Data Source#"&amp;K786&amp;";Account#"&amp;F786&amp;";Intercompany#"&amp;L786&amp;";Movement#"&amp;Q786&amp;";Consolidation#"&amp;T786&amp;";Custom1#"&amp;M786&amp;";Custom2#"&amp;N786&amp;";Custom3#"&amp;O786&amp;";Custom4#"&amp;P786&amp;"")</f>
        <v>#Invalid Syntax</v>
      </c>
      <c r="E786" s="216">
        <f>SUMIFS('Investment Analysis'!$H$22:$H$69,'Investment Analysis'!$E$22:$E$69,"Real Estate Investments",'Investment Analysis'!$AB$22:$AB$69,"4")</f>
        <v>0</v>
      </c>
      <c r="F786" s="217" t="s">
        <v>674</v>
      </c>
      <c r="G786" s="217" t="s">
        <v>1066</v>
      </c>
      <c r="H786" s="218" t="e">
        <f t="shared" si="268"/>
        <v>#N/A</v>
      </c>
      <c r="I786" s="218" t="str">
        <f t="shared" si="268"/>
        <v>Jun</v>
      </c>
      <c r="J786" s="217" t="str">
        <f t="shared" si="268"/>
        <v>FY25</v>
      </c>
      <c r="K786" s="217" t="str">
        <f t="shared" si="268"/>
        <v>FCCS_Other Data</v>
      </c>
      <c r="L786" s="217" t="str">
        <f t="shared" si="268"/>
        <v>FCCS_No Intercompany</v>
      </c>
      <c r="M786" s="217" t="str">
        <f>+M$1</f>
        <v>No Custom1</v>
      </c>
      <c r="N786" s="217" t="str">
        <f t="shared" si="268"/>
        <v>No Custom2</v>
      </c>
      <c r="O786" s="217" t="s">
        <v>63</v>
      </c>
      <c r="P786" s="217" t="s">
        <v>578</v>
      </c>
      <c r="Q786" s="217" t="str">
        <f t="shared" si="269"/>
        <v>FCCS_ClosingBalance_Input</v>
      </c>
      <c r="R786" s="217" t="str">
        <f t="shared" si="270"/>
        <v>Actual</v>
      </c>
      <c r="S786" s="217" t="str">
        <f t="shared" si="270"/>
        <v>FCCS_YTD_Input</v>
      </c>
      <c r="T786" s="217" t="s">
        <v>850</v>
      </c>
    </row>
    <row r="787" spans="2:20" s="371" customFormat="1" x14ac:dyDescent="0.3">
      <c r="B787" s="214" t="s">
        <v>667</v>
      </c>
      <c r="C787" s="215" t="s">
        <v>409</v>
      </c>
      <c r="D787" s="216" t="str">
        <f>[2]!HsSetValue(E787,"FCC","Scenario#"&amp;R787&amp;";Years#"&amp;J787&amp;";Period#"&amp;I787&amp;";View#"&amp;S787&amp;";Entity#"&amp;H787&amp;";Data Source#"&amp;K787&amp;";Account#"&amp;F787&amp;";Intercompany#"&amp;L787&amp;";Movement#"&amp;Q787&amp;";Consolidation#"&amp;T787&amp;";Custom1#"&amp;M787&amp;";Custom2#"&amp;N787&amp;";Custom3#"&amp;O787&amp;";Custom4#"&amp;P787&amp;"")</f>
        <v>#Invalid Syntax</v>
      </c>
      <c r="E787" s="216">
        <f>SUMIFS('Investment Analysis'!$H$22:$H$69,'Investment Analysis'!$E$22:$E$69,"Real Estate Investments",'Investment Analysis'!$AB$22:$AB$69,"3")</f>
        <v>0</v>
      </c>
      <c r="F787" s="217" t="s">
        <v>674</v>
      </c>
      <c r="G787" s="217" t="s">
        <v>1066</v>
      </c>
      <c r="H787" s="218" t="e">
        <f t="shared" si="268"/>
        <v>#N/A</v>
      </c>
      <c r="I787" s="218" t="str">
        <f t="shared" si="268"/>
        <v>Jun</v>
      </c>
      <c r="J787" s="217" t="str">
        <f t="shared" si="268"/>
        <v>FY25</v>
      </c>
      <c r="K787" s="217" t="str">
        <f t="shared" si="268"/>
        <v>FCCS_Other Data</v>
      </c>
      <c r="L787" s="217" t="str">
        <f t="shared" si="268"/>
        <v>FCCS_No Intercompany</v>
      </c>
      <c r="M787" s="217" t="str">
        <f>+M$1</f>
        <v>No Custom1</v>
      </c>
      <c r="N787" s="217" t="str">
        <f t="shared" si="268"/>
        <v>No Custom2</v>
      </c>
      <c r="O787" s="217" t="s">
        <v>622</v>
      </c>
      <c r="P787" s="217" t="s">
        <v>578</v>
      </c>
      <c r="Q787" s="217" t="str">
        <f t="shared" si="269"/>
        <v>FCCS_ClosingBalance_Input</v>
      </c>
      <c r="R787" s="217" t="str">
        <f t="shared" si="270"/>
        <v>Actual</v>
      </c>
      <c r="S787" s="217" t="str">
        <f t="shared" si="270"/>
        <v>FCCS_YTD_Input</v>
      </c>
      <c r="T787" s="217" t="s">
        <v>850</v>
      </c>
    </row>
    <row r="788" spans="2:20" s="371" customFormat="1" x14ac:dyDescent="0.3">
      <c r="B788" s="214" t="s">
        <v>667</v>
      </c>
      <c r="C788" s="215" t="s">
        <v>409</v>
      </c>
      <c r="D788" s="216" t="str">
        <f>[2]!HsSetValue(E788,"FCC","Scenario#"&amp;R788&amp;";Years#"&amp;J788&amp;";Period#"&amp;I788&amp;";View#"&amp;S788&amp;";Entity#"&amp;H788&amp;";Data Source#"&amp;K788&amp;";Account#"&amp;F788&amp;";Intercompany#"&amp;L788&amp;";Movement#"&amp;Q788&amp;";Consolidation#"&amp;T788&amp;";Custom1#"&amp;M788&amp;";Custom2#"&amp;N788&amp;";Custom3#"&amp;O788&amp;";Custom4#"&amp;P788&amp;"")</f>
        <v>#Invalid Syntax</v>
      </c>
      <c r="E788" s="216">
        <f>SUMIFS('Investment Analysis'!$H$22:$H$69,'Investment Analysis'!$E$22:$E$69,"Real Estate Investments",'Investment Analysis'!$AB$22:$AB$69,"2")</f>
        <v>0</v>
      </c>
      <c r="F788" s="217" t="s">
        <v>674</v>
      </c>
      <c r="G788" s="217" t="s">
        <v>1066</v>
      </c>
      <c r="H788" s="218" t="e">
        <f t="shared" si="268"/>
        <v>#N/A</v>
      </c>
      <c r="I788" s="218" t="str">
        <f t="shared" si="268"/>
        <v>Jun</v>
      </c>
      <c r="J788" s="217" t="str">
        <f t="shared" si="268"/>
        <v>FY25</v>
      </c>
      <c r="K788" s="217" t="str">
        <f t="shared" si="268"/>
        <v>FCCS_Other Data</v>
      </c>
      <c r="L788" s="217" t="str">
        <f t="shared" si="268"/>
        <v>FCCS_No Intercompany</v>
      </c>
      <c r="M788" s="217" t="str">
        <f>+M$1</f>
        <v>No Custom1</v>
      </c>
      <c r="N788" s="217" t="str">
        <f t="shared" si="268"/>
        <v>No Custom2</v>
      </c>
      <c r="O788" s="217" t="s">
        <v>618</v>
      </c>
      <c r="P788" s="217" t="s">
        <v>578</v>
      </c>
      <c r="Q788" s="217" t="str">
        <f t="shared" si="269"/>
        <v>FCCS_ClosingBalance_Input</v>
      </c>
      <c r="R788" s="217" t="str">
        <f t="shared" si="270"/>
        <v>Actual</v>
      </c>
      <c r="S788" s="217" t="str">
        <f t="shared" si="270"/>
        <v>FCCS_YTD_Input</v>
      </c>
      <c r="T788" s="217" t="s">
        <v>850</v>
      </c>
    </row>
    <row r="789" spans="2:20" s="371" customFormat="1" x14ac:dyDescent="0.3">
      <c r="B789" s="214" t="s">
        <v>667</v>
      </c>
      <c r="C789" s="215" t="s">
        <v>409</v>
      </c>
      <c r="D789" s="216" t="str">
        <f>[2]!HsSetValue(E789,"FCC","Scenario#"&amp;R789&amp;";Years#"&amp;J789&amp;";Period#"&amp;I789&amp;";View#"&amp;S789&amp;";Entity#"&amp;H789&amp;";Data Source#"&amp;K789&amp;";Account#"&amp;F789&amp;";Intercompany#"&amp;L789&amp;";Movement#"&amp;Q789&amp;";Consolidation#"&amp;T789&amp;";Custom1#"&amp;M789&amp;";Custom2#"&amp;N789&amp;";Custom3#"&amp;O789&amp;";Custom4#"&amp;P789&amp;"")</f>
        <v>#Invalid Syntax</v>
      </c>
      <c r="E789" s="216">
        <f>SUMIFS('Investment Analysis'!$H$22:$H$69,'Investment Analysis'!$E$22:$E$69,"Real Estate Investments",'Investment Analysis'!$AB$22:$AB$69,"1")</f>
        <v>0</v>
      </c>
      <c r="F789" s="217" t="s">
        <v>674</v>
      </c>
      <c r="G789" s="217" t="s">
        <v>1066</v>
      </c>
      <c r="H789" s="218" t="e">
        <f t="shared" si="268"/>
        <v>#N/A</v>
      </c>
      <c r="I789" s="218" t="str">
        <f t="shared" si="268"/>
        <v>Jun</v>
      </c>
      <c r="J789" s="217" t="str">
        <f t="shared" si="268"/>
        <v>FY25</v>
      </c>
      <c r="K789" s="217" t="str">
        <f t="shared" si="268"/>
        <v>FCCS_Other Data</v>
      </c>
      <c r="L789" s="217" t="str">
        <f t="shared" si="268"/>
        <v>FCCS_No Intercompany</v>
      </c>
      <c r="M789" s="217" t="str">
        <f>+M$1</f>
        <v>No Custom1</v>
      </c>
      <c r="N789" s="217" t="str">
        <f t="shared" si="268"/>
        <v>No Custom2</v>
      </c>
      <c r="O789" s="217" t="s">
        <v>64</v>
      </c>
      <c r="P789" s="217" t="s">
        <v>578</v>
      </c>
      <c r="Q789" s="217" t="str">
        <f t="shared" si="269"/>
        <v>FCCS_ClosingBalance_Input</v>
      </c>
      <c r="R789" s="217" t="str">
        <f t="shared" si="270"/>
        <v>Actual</v>
      </c>
      <c r="S789" s="217" t="str">
        <f t="shared" si="270"/>
        <v>FCCS_YTD_Input</v>
      </c>
      <c r="T789" s="217" t="s">
        <v>850</v>
      </c>
    </row>
    <row r="790" spans="2:20" x14ac:dyDescent="0.3">
      <c r="B790" s="214" t="s">
        <v>667</v>
      </c>
      <c r="C790" s="215" t="s">
        <v>409</v>
      </c>
      <c r="D790" s="216" t="str">
        <f>[2]!HsSetValue(E790,"FCC","Scenario#"&amp;R790&amp;";Years#"&amp;J790&amp;";Period#"&amp;I790&amp;";View#"&amp;S790&amp;";Entity#"&amp;H790&amp;";Data Source#"&amp;K790&amp;";Account#"&amp;F790&amp;";Intercompany#"&amp;L790&amp;";Movement#"&amp;Q790&amp;";Consolidation#"&amp;T790&amp;";Custom1#"&amp;M790&amp;";Custom2#"&amp;N790&amp;";Custom3#"&amp;O790&amp;";Custom4#"&amp;P790&amp;"")</f>
        <v>#Invalid Syntax</v>
      </c>
      <c r="E790" s="216">
        <f>SUMIFS('Investment Analysis'!$H$22:$H$69,'Investment Analysis'!$E$22:$E$69,"Real Estate Investments",'Investment Analysis'!$AI$22:$AI$69,"16")</f>
        <v>0</v>
      </c>
      <c r="F790" s="217" t="s">
        <v>674</v>
      </c>
      <c r="G790" s="217" t="s">
        <v>1066</v>
      </c>
      <c r="H790" s="218" t="e">
        <f t="shared" si="268"/>
        <v>#N/A</v>
      </c>
      <c r="I790" s="218" t="str">
        <f t="shared" si="268"/>
        <v>Jun</v>
      </c>
      <c r="J790" s="217" t="str">
        <f t="shared" si="268"/>
        <v>FY25</v>
      </c>
      <c r="K790" s="217" t="s">
        <v>843</v>
      </c>
      <c r="L790" s="217" t="s">
        <v>844</v>
      </c>
      <c r="M790" s="217" t="s">
        <v>845</v>
      </c>
      <c r="N790" s="217" t="s">
        <v>846</v>
      </c>
      <c r="O790" s="217" t="s">
        <v>726</v>
      </c>
      <c r="P790" s="217" t="s">
        <v>578</v>
      </c>
      <c r="Q790" s="217" t="str">
        <f t="shared" si="269"/>
        <v>FCCS_ClosingBalance_Input</v>
      </c>
      <c r="R790" s="217" t="s">
        <v>169</v>
      </c>
      <c r="S790" s="217" t="s">
        <v>848</v>
      </c>
      <c r="T790" s="217" t="s">
        <v>850</v>
      </c>
    </row>
    <row r="791" spans="2:20" x14ac:dyDescent="0.3">
      <c r="B791" s="214" t="s">
        <v>667</v>
      </c>
      <c r="C791" s="215" t="s">
        <v>409</v>
      </c>
      <c r="D791" s="216" t="str">
        <f>[2]!HsSetValue(E791,"FCC","Scenario#"&amp;R791&amp;";Years#"&amp;J791&amp;";Period#"&amp;I791&amp;";View#"&amp;S791&amp;";Entity#"&amp;H791&amp;";Data Source#"&amp;K791&amp;";Account#"&amp;F791&amp;";Intercompany#"&amp;L791&amp;";Movement#"&amp;Q791&amp;";Consolidation#"&amp;T791&amp;";Custom1#"&amp;M791&amp;";Custom2#"&amp;N791&amp;";Custom3#"&amp;O791&amp;";Custom4#"&amp;P791&amp;"")</f>
        <v>#Invalid Syntax</v>
      </c>
      <c r="E791" s="216">
        <f>SUMIFS('Investment Analysis'!$H$22:$H$69,'Investment Analysis'!$E$22:$E$69,"Real Estate Investments",'Investment Analysis'!$AI$22:$AI$69,"15")</f>
        <v>0</v>
      </c>
      <c r="F791" s="217" t="s">
        <v>674</v>
      </c>
      <c r="G791" s="217" t="s">
        <v>1066</v>
      </c>
      <c r="H791" s="218" t="e">
        <f t="shared" si="268"/>
        <v>#N/A</v>
      </c>
      <c r="I791" s="218" t="str">
        <f t="shared" si="268"/>
        <v>Jun</v>
      </c>
      <c r="J791" s="217" t="str">
        <f t="shared" si="268"/>
        <v>FY25</v>
      </c>
      <c r="K791" s="217" t="s">
        <v>843</v>
      </c>
      <c r="L791" s="217" t="s">
        <v>844</v>
      </c>
      <c r="M791" s="217" t="s">
        <v>845</v>
      </c>
      <c r="N791" s="217" t="s">
        <v>846</v>
      </c>
      <c r="O791" s="217" t="s">
        <v>727</v>
      </c>
      <c r="P791" s="217" t="s">
        <v>578</v>
      </c>
      <c r="Q791" s="217" t="str">
        <f t="shared" si="269"/>
        <v>FCCS_ClosingBalance_Input</v>
      </c>
      <c r="R791" s="217" t="s">
        <v>169</v>
      </c>
      <c r="S791" s="217" t="s">
        <v>848</v>
      </c>
      <c r="T791" s="217" t="s">
        <v>850</v>
      </c>
    </row>
    <row r="792" spans="2:20" x14ac:dyDescent="0.3">
      <c r="B792" s="214" t="s">
        <v>667</v>
      </c>
      <c r="C792" s="215" t="s">
        <v>409</v>
      </c>
      <c r="D792" s="216" t="str">
        <f>[2]!HsSetValue(E792,"FCC","Scenario#"&amp;R792&amp;";Years#"&amp;J792&amp;";Period#"&amp;I792&amp;";View#"&amp;S792&amp;";Entity#"&amp;H792&amp;";Data Source#"&amp;K792&amp;";Account#"&amp;F792&amp;";Intercompany#"&amp;L792&amp;";Movement#"&amp;Q792&amp;";Consolidation#"&amp;T792&amp;";Custom1#"&amp;M792&amp;";Custom2#"&amp;N792&amp;";Custom3#"&amp;O792&amp;";Custom4#"&amp;P792&amp;"")</f>
        <v>#Invalid Syntax</v>
      </c>
      <c r="E792" s="216">
        <f>SUMIFS('Investment Analysis'!$H$22:$H$69,'Investment Analysis'!$E$22:$E$69,"Real Estate Investments",'Investment Analysis'!$AI$22:$AI$69,"14")</f>
        <v>0</v>
      </c>
      <c r="F792" s="217" t="s">
        <v>674</v>
      </c>
      <c r="G792" s="217" t="s">
        <v>1066</v>
      </c>
      <c r="H792" s="218" t="e">
        <f t="shared" si="268"/>
        <v>#N/A</v>
      </c>
      <c r="I792" s="218" t="str">
        <f t="shared" si="268"/>
        <v>Jun</v>
      </c>
      <c r="J792" s="217" t="str">
        <f t="shared" si="268"/>
        <v>FY25</v>
      </c>
      <c r="K792" s="217" t="s">
        <v>843</v>
      </c>
      <c r="L792" s="217" t="s">
        <v>844</v>
      </c>
      <c r="M792" s="217" t="s">
        <v>845</v>
      </c>
      <c r="N792" s="217" t="s">
        <v>846</v>
      </c>
      <c r="O792" s="217" t="s">
        <v>728</v>
      </c>
      <c r="P792" s="217" t="s">
        <v>578</v>
      </c>
      <c r="Q792" s="217" t="str">
        <f t="shared" si="269"/>
        <v>FCCS_ClosingBalance_Input</v>
      </c>
      <c r="R792" s="217" t="s">
        <v>169</v>
      </c>
      <c r="S792" s="217" t="s">
        <v>848</v>
      </c>
      <c r="T792" s="217" t="s">
        <v>850</v>
      </c>
    </row>
    <row r="793" spans="2:20" x14ac:dyDescent="0.3">
      <c r="B793" s="214" t="s">
        <v>667</v>
      </c>
      <c r="C793" s="215" t="s">
        <v>409</v>
      </c>
      <c r="D793" s="216" t="str">
        <f>[2]!HsSetValue(E793,"FCC","Scenario#"&amp;R793&amp;";Years#"&amp;J793&amp;";Period#"&amp;I793&amp;";View#"&amp;S793&amp;";Entity#"&amp;H793&amp;";Data Source#"&amp;K793&amp;";Account#"&amp;F793&amp;";Intercompany#"&amp;L793&amp;";Movement#"&amp;Q793&amp;";Consolidation#"&amp;T793&amp;";Custom1#"&amp;M793&amp;";Custom2#"&amp;N793&amp;";Custom3#"&amp;O793&amp;";Custom4#"&amp;P793&amp;"")</f>
        <v>#Invalid Syntax</v>
      </c>
      <c r="E793" s="216">
        <f>SUMIFS('Investment Analysis'!$H$22:$H$69,'Investment Analysis'!$E$22:$E$69,"Real Estate Investments",'Investment Analysis'!$AB$22:$AB$69,"0")+SUMIFS('Investment Analysis'!$H$22:$H$69,'Investment Analysis'!$E$22:$E$69,"Real Estate Investments",'Investment Analysis'!$AI$22:$AI$69,"0")</f>
        <v>0</v>
      </c>
      <c r="F793" s="217" t="s">
        <v>674</v>
      </c>
      <c r="G793" s="217" t="s">
        <v>1066</v>
      </c>
      <c r="H793" s="218" t="e">
        <f t="shared" si="268"/>
        <v>#N/A</v>
      </c>
      <c r="I793" s="218" t="str">
        <f t="shared" si="268"/>
        <v>Jun</v>
      </c>
      <c r="J793" s="217" t="str">
        <f t="shared" si="268"/>
        <v>FY25</v>
      </c>
      <c r="K793" s="217" t="s">
        <v>843</v>
      </c>
      <c r="L793" s="217" t="s">
        <v>844</v>
      </c>
      <c r="M793" s="217" t="s">
        <v>845</v>
      </c>
      <c r="N793" s="217" t="s">
        <v>846</v>
      </c>
      <c r="O793" s="217" t="s">
        <v>609</v>
      </c>
      <c r="P793" s="217" t="s">
        <v>578</v>
      </c>
      <c r="Q793" s="217" t="str">
        <f t="shared" si="269"/>
        <v>FCCS_ClosingBalance_Input</v>
      </c>
      <c r="R793" s="217" t="s">
        <v>169</v>
      </c>
      <c r="S793" s="217" t="s">
        <v>848</v>
      </c>
      <c r="T793" s="217" t="s">
        <v>850</v>
      </c>
    </row>
    <row r="794" spans="2:20" x14ac:dyDescent="0.3">
      <c r="B794" s="210"/>
      <c r="C794" s="211"/>
      <c r="D794" s="212"/>
      <c r="E794" s="212"/>
    </row>
    <row r="795" spans="2:20" x14ac:dyDescent="0.3">
      <c r="B795" s="219" t="s">
        <v>1014</v>
      </c>
      <c r="C795" s="220" t="s">
        <v>409</v>
      </c>
      <c r="D795" s="221" t="str">
        <f>[2]!HsSetValue(E795,"FCC","Scenario#"&amp;R795&amp;";Years#"&amp;J795&amp;";Period#"&amp;I795&amp;";View#"&amp;S795&amp;";Entity#"&amp;H795&amp;";Data Source#"&amp;K795&amp;";Account#"&amp;F795&amp;";Intercompany#"&amp;L795&amp;";Movement#"&amp;Q795&amp;";Consolidation#"&amp;T795&amp;";Custom1#"&amp;M795&amp;";Custom2#"&amp;N795&amp;";Custom3#"&amp;O795&amp;";Custom4#"&amp;P795&amp;"")</f>
        <v>#Invalid Syntax</v>
      </c>
      <c r="E795" s="221">
        <f>SUMIFS('Investment Analysis'!$H$22:$H$69,'Investment Analysis'!$E$22:$E$69,"Real Estate Investments",'Investment Analysis'!$AK$22:$AK$69,"21")</f>
        <v>0</v>
      </c>
      <c r="F795" s="222" t="s">
        <v>675</v>
      </c>
      <c r="G795" s="222" t="s">
        <v>1038</v>
      </c>
      <c r="H795" s="223" t="e">
        <f>+H$2</f>
        <v>#N/A</v>
      </c>
      <c r="I795" s="223" t="str">
        <f t="shared" ref="I795:J837" si="271">+I$2</f>
        <v>Jun</v>
      </c>
      <c r="J795" s="222" t="str">
        <f t="shared" si="268"/>
        <v>FY25</v>
      </c>
      <c r="K795" s="222" t="s">
        <v>843</v>
      </c>
      <c r="L795" s="222" t="s">
        <v>844</v>
      </c>
      <c r="M795" s="222" t="s">
        <v>845</v>
      </c>
      <c r="N795" s="222" t="s">
        <v>846</v>
      </c>
      <c r="O795" s="222" t="s">
        <v>729</v>
      </c>
      <c r="P795" s="222" t="s">
        <v>578</v>
      </c>
      <c r="Q795" s="222" t="str">
        <f t="shared" ref="Q795:Q805" si="272">Q$2</f>
        <v>FCCS_ClosingBalance_Input</v>
      </c>
      <c r="R795" s="222" t="s">
        <v>169</v>
      </c>
      <c r="S795" s="222" t="s">
        <v>848</v>
      </c>
      <c r="T795" s="222" t="s">
        <v>850</v>
      </c>
    </row>
    <row r="796" spans="2:20" x14ac:dyDescent="0.3">
      <c r="B796" s="219" t="s">
        <v>1014</v>
      </c>
      <c r="C796" s="220" t="s">
        <v>409</v>
      </c>
      <c r="D796" s="221" t="str">
        <f>[2]!HsSetValue(E796,"FCC","Scenario#"&amp;R796&amp;";Years#"&amp;J796&amp;";Period#"&amp;I796&amp;";View#"&amp;S796&amp;";Entity#"&amp;H796&amp;";Data Source#"&amp;K796&amp;";Account#"&amp;F796&amp;";Intercompany#"&amp;L796&amp;";Movement#"&amp;Q796&amp;";Consolidation#"&amp;T796&amp;";Custom1#"&amp;M796&amp;";Custom2#"&amp;N796&amp;";Custom3#"&amp;O796&amp;";Custom4#"&amp;P796&amp;"")</f>
        <v>#Invalid Syntax</v>
      </c>
      <c r="E796" s="221">
        <f>SUMIFS('Investment Analysis'!$H$22:$H$69,'Investment Analysis'!$E$22:$E$69,"Real Estate Investments",'Investment Analysis'!$AK$22:$AK$69,"22")</f>
        <v>0</v>
      </c>
      <c r="F796" s="222" t="s">
        <v>675</v>
      </c>
      <c r="G796" s="222" t="s">
        <v>1038</v>
      </c>
      <c r="H796" s="223" t="e">
        <f>+H$2</f>
        <v>#N/A</v>
      </c>
      <c r="I796" s="223" t="str">
        <f t="shared" si="271"/>
        <v>Jun</v>
      </c>
      <c r="J796" s="222" t="str">
        <f t="shared" si="271"/>
        <v>FY25</v>
      </c>
      <c r="K796" s="222" t="s">
        <v>843</v>
      </c>
      <c r="L796" s="222" t="s">
        <v>844</v>
      </c>
      <c r="M796" s="222" t="s">
        <v>845</v>
      </c>
      <c r="N796" s="222" t="s">
        <v>846</v>
      </c>
      <c r="O796" s="222" t="s">
        <v>730</v>
      </c>
      <c r="P796" s="222" t="s">
        <v>578</v>
      </c>
      <c r="Q796" s="222" t="str">
        <f t="shared" si="272"/>
        <v>FCCS_ClosingBalance_Input</v>
      </c>
      <c r="R796" s="222" t="s">
        <v>169</v>
      </c>
      <c r="S796" s="222" t="s">
        <v>848</v>
      </c>
      <c r="T796" s="222" t="s">
        <v>850</v>
      </c>
    </row>
    <row r="797" spans="2:20" x14ac:dyDescent="0.3">
      <c r="B797" s="219" t="s">
        <v>1014</v>
      </c>
      <c r="C797" s="220" t="s">
        <v>409</v>
      </c>
      <c r="D797" s="221" t="str">
        <f>[2]!HsSetValue(E797,"FCC","Scenario#"&amp;R797&amp;";Years#"&amp;J797&amp;";Period#"&amp;I797&amp;";View#"&amp;S797&amp;";Entity#"&amp;H797&amp;";Data Source#"&amp;K797&amp;";Account#"&amp;F797&amp;";Intercompany#"&amp;L797&amp;";Movement#"&amp;Q797&amp;";Consolidation#"&amp;T797&amp;";Custom1#"&amp;M797&amp;";Custom2#"&amp;N797&amp;";Custom3#"&amp;O797&amp;";Custom4#"&amp;P797&amp;"")</f>
        <v>#Invalid Syntax</v>
      </c>
      <c r="E797" s="221">
        <f>SUMIFS('Investment Analysis'!$H$22:$H$69,'Investment Analysis'!$E$22:$E$69,"Real Estate Investments",'Investment Analysis'!$AK$22:$AK$69,"23")</f>
        <v>0</v>
      </c>
      <c r="F797" s="222" t="s">
        <v>675</v>
      </c>
      <c r="G797" s="222" t="s">
        <v>1038</v>
      </c>
      <c r="H797" s="223" t="e">
        <f>+H$2</f>
        <v>#N/A</v>
      </c>
      <c r="I797" s="223" t="str">
        <f t="shared" si="271"/>
        <v>Jun</v>
      </c>
      <c r="J797" s="222" t="str">
        <f t="shared" si="271"/>
        <v>FY25</v>
      </c>
      <c r="K797" s="222" t="s">
        <v>843</v>
      </c>
      <c r="L797" s="222" t="s">
        <v>844</v>
      </c>
      <c r="M797" s="222" t="s">
        <v>845</v>
      </c>
      <c r="N797" s="222" t="s">
        <v>846</v>
      </c>
      <c r="O797" s="222" t="s">
        <v>731</v>
      </c>
      <c r="P797" s="222" t="s">
        <v>578</v>
      </c>
      <c r="Q797" s="222" t="str">
        <f t="shared" si="272"/>
        <v>FCCS_ClosingBalance_Input</v>
      </c>
      <c r="R797" s="222" t="s">
        <v>169</v>
      </c>
      <c r="S797" s="222" t="s">
        <v>848</v>
      </c>
      <c r="T797" s="222" t="s">
        <v>850</v>
      </c>
    </row>
    <row r="798" spans="2:20" x14ac:dyDescent="0.3">
      <c r="B798" s="219" t="s">
        <v>1014</v>
      </c>
      <c r="C798" s="220" t="s">
        <v>409</v>
      </c>
      <c r="D798" s="221" t="str">
        <f>[2]!HsSetValue(E798,"FCC","Scenario#"&amp;R798&amp;";Years#"&amp;J798&amp;";Period#"&amp;I798&amp;";View#"&amp;S798&amp;";Entity#"&amp;H798&amp;";Data Source#"&amp;K798&amp;";Account#"&amp;F798&amp;";Intercompany#"&amp;L798&amp;";Movement#"&amp;Q798&amp;";Consolidation#"&amp;T798&amp;";Custom1#"&amp;M798&amp;";Custom2#"&amp;N798&amp;";Custom3#"&amp;O798&amp;";Custom4#"&amp;P798&amp;"")</f>
        <v>#Invalid Syntax</v>
      </c>
      <c r="E798" s="221">
        <f>SUMIFS('Investment Analysis'!$H$22:$H$69,'Investment Analysis'!$E$22:$E$69,"Real Estate Investments",'Investment Analysis'!$AK$22:$AK$69,"24")</f>
        <v>0</v>
      </c>
      <c r="F798" s="222" t="s">
        <v>675</v>
      </c>
      <c r="G798" s="222" t="s">
        <v>1038</v>
      </c>
      <c r="H798" s="223" t="e">
        <f>+H$2</f>
        <v>#N/A</v>
      </c>
      <c r="I798" s="223" t="str">
        <f t="shared" si="271"/>
        <v>Jun</v>
      </c>
      <c r="J798" s="222" t="str">
        <f t="shared" si="271"/>
        <v>FY25</v>
      </c>
      <c r="K798" s="222" t="s">
        <v>843</v>
      </c>
      <c r="L798" s="222" t="s">
        <v>844</v>
      </c>
      <c r="M798" s="222" t="s">
        <v>845</v>
      </c>
      <c r="N798" s="222" t="s">
        <v>846</v>
      </c>
      <c r="O798" s="222" t="s">
        <v>732</v>
      </c>
      <c r="P798" s="222" t="s">
        <v>578</v>
      </c>
      <c r="Q798" s="222" t="str">
        <f t="shared" si="272"/>
        <v>FCCS_ClosingBalance_Input</v>
      </c>
      <c r="R798" s="222" t="s">
        <v>169</v>
      </c>
      <c r="S798" s="222" t="s">
        <v>848</v>
      </c>
      <c r="T798" s="222" t="s">
        <v>850</v>
      </c>
    </row>
    <row r="799" spans="2:20" x14ac:dyDescent="0.3">
      <c r="B799" s="219" t="s">
        <v>1014</v>
      </c>
      <c r="C799" s="220" t="s">
        <v>409</v>
      </c>
      <c r="D799" s="221" t="str">
        <f>[2]!HsSetValue(E799,"FCC","Scenario#"&amp;R799&amp;";Years#"&amp;J799&amp;";Period#"&amp;I799&amp;";View#"&amp;S799&amp;";Entity#"&amp;H799&amp;";Data Source#"&amp;K799&amp;";Account#"&amp;F799&amp;";Intercompany#"&amp;L799&amp;";Movement#"&amp;Q799&amp;";Consolidation#"&amp;T799&amp;";Custom1#"&amp;M799&amp;";Custom2#"&amp;N799&amp;";Custom3#"&amp;O799&amp;";Custom4#"&amp;P799&amp;"")</f>
        <v>#Invalid Syntax</v>
      </c>
      <c r="E799" s="221">
        <f>SUMIFS('Investment Analysis'!$H$22:$H$69,'Investment Analysis'!$E$22:$E$69,"Real Estate Investments",'Investment Analysis'!$AK$22:$AK$69,"25")</f>
        <v>0</v>
      </c>
      <c r="F799" s="222" t="s">
        <v>675</v>
      </c>
      <c r="G799" s="222" t="s">
        <v>1038</v>
      </c>
      <c r="H799" s="223" t="e">
        <f>+H$2</f>
        <v>#N/A</v>
      </c>
      <c r="I799" s="223" t="str">
        <f t="shared" si="271"/>
        <v>Jun</v>
      </c>
      <c r="J799" s="222" t="str">
        <f t="shared" si="271"/>
        <v>FY25</v>
      </c>
      <c r="K799" s="222" t="s">
        <v>843</v>
      </c>
      <c r="L799" s="222" t="s">
        <v>844</v>
      </c>
      <c r="M799" s="222" t="s">
        <v>845</v>
      </c>
      <c r="N799" s="222" t="s">
        <v>846</v>
      </c>
      <c r="O799" s="222" t="s">
        <v>733</v>
      </c>
      <c r="P799" s="222" t="s">
        <v>578</v>
      </c>
      <c r="Q799" s="222" t="str">
        <f t="shared" si="272"/>
        <v>FCCS_ClosingBalance_Input</v>
      </c>
      <c r="R799" s="222" t="s">
        <v>169</v>
      </c>
      <c r="S799" s="222" t="s">
        <v>848</v>
      </c>
      <c r="T799" s="222" t="s">
        <v>850</v>
      </c>
    </row>
    <row r="801" spans="2:20" x14ac:dyDescent="0.3">
      <c r="B801" s="364" t="s">
        <v>668</v>
      </c>
      <c r="C801" s="364" t="s">
        <v>886</v>
      </c>
      <c r="D801" s="366" t="str">
        <f>[2]!HsSetValue(E801,"FCC","Scenario#"&amp;R801&amp;";Years#"&amp;J801&amp;";Period#"&amp;I801&amp;";View#"&amp;S801&amp;";Entity#"&amp;H801&amp;";Data Source#"&amp;K801&amp;";Account#"&amp;F801&amp;";Intercompany#"&amp;L801&amp;";Movement#"&amp;Q801&amp;";Consolidation#"&amp;T801&amp;";Custom1#"&amp;M801&amp;";Custom2#"&amp;N801&amp;";Custom3#"&amp;O801&amp;";Custom4#"&amp;P801&amp;"")</f>
        <v>#Invalid Syntax</v>
      </c>
      <c r="E801" s="366">
        <f>SUMIF('Investment Analysis'!$E$22:$E$69,'FCC Investments - Load Tab'!C801,'Investment Analysis'!$K$22:$K$69)</f>
        <v>0</v>
      </c>
      <c r="F801" s="367" t="s">
        <v>673</v>
      </c>
      <c r="G801" s="367" t="str">
        <f>"Inv. Analysis - Interest Rate Risk - "&amp;C801</f>
        <v xml:space="preserve">Inv. Analysis - Interest Rate Risk - Real Estate Investment Trusts      </v>
      </c>
      <c r="H801" s="368" t="e">
        <f>+H$2</f>
        <v>#N/A</v>
      </c>
      <c r="I801" s="368" t="str">
        <f t="shared" si="271"/>
        <v>Jun</v>
      </c>
      <c r="J801" s="367" t="str">
        <f>+J$2</f>
        <v>FY25</v>
      </c>
      <c r="K801" s="367" t="s">
        <v>843</v>
      </c>
      <c r="L801" s="367" t="s">
        <v>844</v>
      </c>
      <c r="M801" s="367" t="s">
        <v>845</v>
      </c>
      <c r="N801" s="367" t="s">
        <v>846</v>
      </c>
      <c r="O801" s="367" t="s">
        <v>721</v>
      </c>
      <c r="P801" s="367" t="s">
        <v>879</v>
      </c>
      <c r="Q801" s="367" t="str">
        <f t="shared" si="272"/>
        <v>FCCS_ClosingBalance_Input</v>
      </c>
      <c r="R801" s="367" t="s">
        <v>169</v>
      </c>
      <c r="S801" s="367" t="s">
        <v>848</v>
      </c>
      <c r="T801" s="367" t="s">
        <v>850</v>
      </c>
    </row>
    <row r="802" spans="2:20" x14ac:dyDescent="0.3">
      <c r="B802" s="364" t="s">
        <v>668</v>
      </c>
      <c r="C802" s="364" t="s">
        <v>886</v>
      </c>
      <c r="D802" s="366" t="str">
        <f>[2]!HsSetValue(E802,"FCC","Scenario#"&amp;R802&amp;";Years#"&amp;J802&amp;";Period#"&amp;I802&amp;";View#"&amp;S802&amp;";Entity#"&amp;H802&amp;";Data Source#"&amp;K802&amp;";Account#"&amp;F802&amp;";Intercompany#"&amp;L802&amp;";Movement#"&amp;Q802&amp;";Consolidation#"&amp;T802&amp;";Custom1#"&amp;M802&amp;";Custom2#"&amp;N802&amp;";Custom3#"&amp;O802&amp;";Custom4#"&amp;P802&amp;"")</f>
        <v>#Invalid Syntax</v>
      </c>
      <c r="E802" s="366">
        <f>SUMIF('Investment Analysis'!$E$22:$E$69,'FCC Investments - Load Tab'!C801,'Investment Analysis'!$L$22:$L$69)</f>
        <v>0</v>
      </c>
      <c r="F802" s="367" t="s">
        <v>673</v>
      </c>
      <c r="G802" s="367" t="str">
        <f t="shared" ref="G802:G805" si="273">"Inv. Analysis - Interest Rate Risk - "&amp;C802</f>
        <v xml:space="preserve">Inv. Analysis - Interest Rate Risk - Real Estate Investment Trusts      </v>
      </c>
      <c r="H802" s="368" t="e">
        <f>+H$2</f>
        <v>#N/A</v>
      </c>
      <c r="I802" s="368" t="str">
        <f t="shared" si="271"/>
        <v>Jun</v>
      </c>
      <c r="J802" s="367" t="str">
        <f>+J$2</f>
        <v>FY25</v>
      </c>
      <c r="K802" s="367" t="str">
        <f t="shared" ref="K802:N805" si="274">+K$2</f>
        <v>FCCS_Other Data</v>
      </c>
      <c r="L802" s="367" t="str">
        <f t="shared" si="274"/>
        <v>FCCS_No Intercompany</v>
      </c>
      <c r="M802" s="367" t="str">
        <f>+M$1</f>
        <v>No Custom1</v>
      </c>
      <c r="N802" s="367" t="str">
        <f t="shared" si="274"/>
        <v>No Custom2</v>
      </c>
      <c r="O802" s="367" t="s">
        <v>722</v>
      </c>
      <c r="P802" s="367" t="s">
        <v>879</v>
      </c>
      <c r="Q802" s="367" t="str">
        <f t="shared" si="272"/>
        <v>FCCS_ClosingBalance_Input</v>
      </c>
      <c r="R802" s="367" t="str">
        <f t="shared" ref="R802:S805" si="275">+R$2</f>
        <v>Actual</v>
      </c>
      <c r="S802" s="367" t="str">
        <f t="shared" si="275"/>
        <v>FCCS_YTD_Input</v>
      </c>
      <c r="T802" s="367" t="s">
        <v>850</v>
      </c>
    </row>
    <row r="803" spans="2:20" x14ac:dyDescent="0.3">
      <c r="B803" s="364" t="s">
        <v>668</v>
      </c>
      <c r="C803" s="364" t="s">
        <v>886</v>
      </c>
      <c r="D803" s="366" t="str">
        <f>[2]!HsSetValue(E803,"FCC","Scenario#"&amp;R803&amp;";Years#"&amp;J803&amp;";Period#"&amp;I803&amp;";View#"&amp;S803&amp;";Entity#"&amp;H803&amp;";Data Source#"&amp;K803&amp;";Account#"&amp;F803&amp;";Intercompany#"&amp;L803&amp;";Movement#"&amp;Q803&amp;";Consolidation#"&amp;T803&amp;";Custom1#"&amp;M803&amp;";Custom2#"&amp;N803&amp;";Custom3#"&amp;O803&amp;";Custom4#"&amp;P803&amp;"")</f>
        <v>#Invalid Syntax</v>
      </c>
      <c r="E803" s="366">
        <f>SUMIF('Investment Analysis'!$E$22:$E$69,'FCC Investments - Load Tab'!C801,'Investment Analysis'!$M$22:$M$69)</f>
        <v>0</v>
      </c>
      <c r="F803" s="367" t="s">
        <v>673</v>
      </c>
      <c r="G803" s="367" t="str">
        <f t="shared" si="273"/>
        <v xml:space="preserve">Inv. Analysis - Interest Rate Risk - Real Estate Investment Trusts      </v>
      </c>
      <c r="H803" s="368" t="e">
        <f>+H$2</f>
        <v>#N/A</v>
      </c>
      <c r="I803" s="368" t="str">
        <f t="shared" si="271"/>
        <v>Jun</v>
      </c>
      <c r="J803" s="367" t="str">
        <f>+J$2</f>
        <v>FY25</v>
      </c>
      <c r="K803" s="367" t="str">
        <f t="shared" si="274"/>
        <v>FCCS_Other Data</v>
      </c>
      <c r="L803" s="367" t="str">
        <f t="shared" si="274"/>
        <v>FCCS_No Intercompany</v>
      </c>
      <c r="M803" s="367" t="str">
        <f>+M$1</f>
        <v>No Custom1</v>
      </c>
      <c r="N803" s="367" t="str">
        <f t="shared" si="274"/>
        <v>No Custom2</v>
      </c>
      <c r="O803" s="367" t="s">
        <v>723</v>
      </c>
      <c r="P803" s="367" t="s">
        <v>879</v>
      </c>
      <c r="Q803" s="367" t="str">
        <f t="shared" si="272"/>
        <v>FCCS_ClosingBalance_Input</v>
      </c>
      <c r="R803" s="367" t="str">
        <f t="shared" si="275"/>
        <v>Actual</v>
      </c>
      <c r="S803" s="367" t="str">
        <f t="shared" si="275"/>
        <v>FCCS_YTD_Input</v>
      </c>
      <c r="T803" s="367" t="s">
        <v>850</v>
      </c>
    </row>
    <row r="804" spans="2:20" x14ac:dyDescent="0.3">
      <c r="B804" s="364" t="s">
        <v>668</v>
      </c>
      <c r="C804" s="364" t="s">
        <v>886</v>
      </c>
      <c r="D804" s="366" t="str">
        <f>[2]!HsSetValue(E804,"FCC","Scenario#"&amp;R804&amp;";Years#"&amp;J804&amp;";Period#"&amp;I804&amp;";View#"&amp;S804&amp;";Entity#"&amp;H804&amp;";Data Source#"&amp;K804&amp;";Account#"&amp;F804&amp;";Intercompany#"&amp;L804&amp;";Movement#"&amp;Q804&amp;";Consolidation#"&amp;T804&amp;";Custom1#"&amp;M804&amp;";Custom2#"&amp;N804&amp;";Custom3#"&amp;O804&amp;";Custom4#"&amp;P804&amp;"")</f>
        <v>#Invalid Syntax</v>
      </c>
      <c r="E804" s="366">
        <f>SUMIF('Investment Analysis'!$E$22:$E$69,'FCC Investments - Load Tab'!C804,'Investment Analysis'!$N$22:$N$69)</f>
        <v>0</v>
      </c>
      <c r="F804" s="367" t="s">
        <v>673</v>
      </c>
      <c r="G804" s="367" t="str">
        <f t="shared" si="273"/>
        <v xml:space="preserve">Inv. Analysis - Interest Rate Risk - Real Estate Investment Trusts      </v>
      </c>
      <c r="H804" s="368" t="e">
        <f>+H$2</f>
        <v>#N/A</v>
      </c>
      <c r="I804" s="368" t="str">
        <f t="shared" si="271"/>
        <v>Jun</v>
      </c>
      <c r="J804" s="367" t="str">
        <f>+J$2</f>
        <v>FY25</v>
      </c>
      <c r="K804" s="367" t="str">
        <f t="shared" si="274"/>
        <v>FCCS_Other Data</v>
      </c>
      <c r="L804" s="367" t="str">
        <f t="shared" si="274"/>
        <v>FCCS_No Intercompany</v>
      </c>
      <c r="M804" s="367" t="str">
        <f>+M$1</f>
        <v>No Custom1</v>
      </c>
      <c r="N804" s="367" t="str">
        <f t="shared" si="274"/>
        <v>No Custom2</v>
      </c>
      <c r="O804" s="367" t="s">
        <v>724</v>
      </c>
      <c r="P804" s="367" t="s">
        <v>879</v>
      </c>
      <c r="Q804" s="367" t="str">
        <f t="shared" si="272"/>
        <v>FCCS_ClosingBalance_Input</v>
      </c>
      <c r="R804" s="367" t="str">
        <f t="shared" si="275"/>
        <v>Actual</v>
      </c>
      <c r="S804" s="367" t="str">
        <f t="shared" si="275"/>
        <v>FCCS_YTD_Input</v>
      </c>
      <c r="T804" s="367" t="s">
        <v>850</v>
      </c>
    </row>
    <row r="805" spans="2:20" x14ac:dyDescent="0.3">
      <c r="B805" s="364" t="s">
        <v>668</v>
      </c>
      <c r="C805" s="364" t="s">
        <v>886</v>
      </c>
      <c r="D805" s="366" t="str">
        <f>[2]!HsSetValue(E805,"FCC","Scenario#"&amp;R805&amp;";Years#"&amp;J805&amp;";Period#"&amp;I805&amp;";View#"&amp;S805&amp;";Entity#"&amp;H805&amp;";Data Source#"&amp;K805&amp;";Account#"&amp;F805&amp;";Intercompany#"&amp;L805&amp;";Movement#"&amp;Q805&amp;";Consolidation#"&amp;T805&amp;";Custom1#"&amp;M805&amp;";Custom2#"&amp;N805&amp;";Custom3#"&amp;O805&amp;";Custom4#"&amp;P805&amp;"")</f>
        <v>#Invalid Syntax</v>
      </c>
      <c r="E805" s="366">
        <f>SUMIF('Investment Analysis'!$E$2:$E$69,'FCC Investments - Load Tab'!C805,'Investment Analysis'!$O$2:$O$69)</f>
        <v>0</v>
      </c>
      <c r="F805" s="367" t="s">
        <v>673</v>
      </c>
      <c r="G805" s="367" t="str">
        <f t="shared" si="273"/>
        <v xml:space="preserve">Inv. Analysis - Interest Rate Risk - Real Estate Investment Trusts      </v>
      </c>
      <c r="H805" s="368" t="e">
        <f>+H$2</f>
        <v>#N/A</v>
      </c>
      <c r="I805" s="368" t="str">
        <f t="shared" si="271"/>
        <v>Jun</v>
      </c>
      <c r="J805" s="367" t="str">
        <f>+J$2</f>
        <v>FY25</v>
      </c>
      <c r="K805" s="367" t="str">
        <f t="shared" si="274"/>
        <v>FCCS_Other Data</v>
      </c>
      <c r="L805" s="367" t="str">
        <f t="shared" si="274"/>
        <v>FCCS_No Intercompany</v>
      </c>
      <c r="M805" s="367" t="str">
        <f>+M$1</f>
        <v>No Custom1</v>
      </c>
      <c r="N805" s="367" t="str">
        <f t="shared" si="274"/>
        <v>No Custom2</v>
      </c>
      <c r="O805" s="367" t="s">
        <v>725</v>
      </c>
      <c r="P805" s="367" t="s">
        <v>879</v>
      </c>
      <c r="Q805" s="367" t="str">
        <f t="shared" si="272"/>
        <v>FCCS_ClosingBalance_Input</v>
      </c>
      <c r="R805" s="367" t="str">
        <f t="shared" si="275"/>
        <v>Actual</v>
      </c>
      <c r="S805" s="367" t="str">
        <f t="shared" si="275"/>
        <v>FCCS_YTD_Input</v>
      </c>
      <c r="T805" s="367" t="s">
        <v>850</v>
      </c>
    </row>
    <row r="806" spans="2:20" ht="16.5" customHeight="1" x14ac:dyDescent="0.3">
      <c r="B806" s="210"/>
      <c r="C806" s="210"/>
      <c r="D806" s="212"/>
      <c r="E806" s="212"/>
    </row>
    <row r="807" spans="2:20" x14ac:dyDescent="0.3">
      <c r="B807" s="214" t="s">
        <v>667</v>
      </c>
      <c r="C807" s="214" t="s">
        <v>886</v>
      </c>
      <c r="D807" s="216" t="str">
        <f>[2]!HsSetValue(E807,"FCC","Scenario#"&amp;R807&amp;";Years#"&amp;J807&amp;";Period#"&amp;I807&amp;";View#"&amp;S807&amp;";Entity#"&amp;H807&amp;";Data Source#"&amp;K807&amp;";Account#"&amp;F807&amp;";Intercompany#"&amp;L807&amp;";Movement#"&amp;Q807&amp;";Consolidation#"&amp;T807&amp;";Custom1#"&amp;M807&amp;";Custom2#"&amp;N807&amp;";Custom3#"&amp;O807&amp;";Custom4#"&amp;P807&amp;"")</f>
        <v>#Invalid Syntax</v>
      </c>
      <c r="E807" s="216">
        <f>SUMIFS('Investment Analysis'!$H$22:$H$69,'Investment Analysis'!$E$22:$E$69,"Real Estate Investment Trusts",'Investment Analysis'!$AB$22:$AB$69,"10")</f>
        <v>0</v>
      </c>
      <c r="F807" s="217" t="s">
        <v>674</v>
      </c>
      <c r="G807" s="217" t="str">
        <f t="shared" ref="G807:G820" si="276">"Inv. Analysis - Credit Quality Risk - "&amp;C807</f>
        <v xml:space="preserve">Inv. Analysis - Credit Quality Risk - Real Estate Investment Trusts      </v>
      </c>
      <c r="H807" s="218" t="e">
        <f t="shared" ref="H807:N820" si="277">+H$2</f>
        <v>#N/A</v>
      </c>
      <c r="I807" s="218" t="str">
        <f t="shared" si="277"/>
        <v>Jun</v>
      </c>
      <c r="J807" s="217" t="str">
        <f t="shared" si="277"/>
        <v>FY25</v>
      </c>
      <c r="K807" s="217" t="str">
        <f t="shared" si="277"/>
        <v>FCCS_Other Data</v>
      </c>
      <c r="L807" s="217" t="str">
        <f t="shared" si="277"/>
        <v>FCCS_No Intercompany</v>
      </c>
      <c r="M807" s="217" t="str">
        <f t="shared" ref="M807:M820" si="278">+M$1</f>
        <v>No Custom1</v>
      </c>
      <c r="N807" s="217" t="str">
        <f t="shared" si="277"/>
        <v>No Custom2</v>
      </c>
      <c r="O807" s="217" t="s">
        <v>433</v>
      </c>
      <c r="P807" s="217" t="s">
        <v>879</v>
      </c>
      <c r="Q807" s="217" t="str">
        <f t="shared" ref="Q807:Q820" si="279">Q$2</f>
        <v>FCCS_ClosingBalance_Input</v>
      </c>
      <c r="R807" s="217" t="str">
        <f t="shared" ref="R807:S820" si="280">+R$2</f>
        <v>Actual</v>
      </c>
      <c r="S807" s="217" t="str">
        <f t="shared" si="280"/>
        <v>FCCS_YTD_Input</v>
      </c>
      <c r="T807" s="217" t="s">
        <v>850</v>
      </c>
    </row>
    <row r="808" spans="2:20" x14ac:dyDescent="0.3">
      <c r="B808" s="214" t="s">
        <v>667</v>
      </c>
      <c r="C808" s="214" t="s">
        <v>886</v>
      </c>
      <c r="D808" s="216" t="str">
        <f>[2]!HsSetValue(E808,"FCC","Scenario#"&amp;R808&amp;";Years#"&amp;J808&amp;";Period#"&amp;I808&amp;";View#"&amp;S808&amp;";Entity#"&amp;H808&amp;";Data Source#"&amp;K808&amp;";Account#"&amp;F808&amp;";Intercompany#"&amp;L808&amp;";Movement#"&amp;Q808&amp;";Consolidation#"&amp;T808&amp;";Custom1#"&amp;M808&amp;";Custom2#"&amp;N808&amp;";Custom3#"&amp;O808&amp;";Custom4#"&amp;P808&amp;"")</f>
        <v>#Invalid Syntax</v>
      </c>
      <c r="E808" s="216">
        <f>SUMIFS('Investment Analysis'!$H$22:$H$69,'Investment Analysis'!$E$22:$E$69,"Real Estate Investment Trusts",'Investment Analysis'!$AB$22:$AB$69,"9")</f>
        <v>0</v>
      </c>
      <c r="F808" s="217" t="s">
        <v>674</v>
      </c>
      <c r="G808" s="217" t="str">
        <f t="shared" si="276"/>
        <v xml:space="preserve">Inv. Analysis - Credit Quality Risk - Real Estate Investment Trusts      </v>
      </c>
      <c r="H808" s="218" t="e">
        <f t="shared" si="277"/>
        <v>#N/A</v>
      </c>
      <c r="I808" s="218" t="str">
        <f t="shared" si="277"/>
        <v>Jun</v>
      </c>
      <c r="J808" s="217" t="str">
        <f t="shared" si="277"/>
        <v>FY25</v>
      </c>
      <c r="K808" s="217" t="str">
        <f t="shared" si="277"/>
        <v>FCCS_Other Data</v>
      </c>
      <c r="L808" s="217" t="str">
        <f t="shared" si="277"/>
        <v>FCCS_No Intercompany</v>
      </c>
      <c r="M808" s="217" t="str">
        <f t="shared" si="278"/>
        <v>No Custom1</v>
      </c>
      <c r="N808" s="217" t="str">
        <f t="shared" si="277"/>
        <v>No Custom2</v>
      </c>
      <c r="O808" s="217" t="s">
        <v>596</v>
      </c>
      <c r="P808" s="217" t="s">
        <v>879</v>
      </c>
      <c r="Q808" s="217" t="str">
        <f t="shared" si="279"/>
        <v>FCCS_ClosingBalance_Input</v>
      </c>
      <c r="R808" s="217" t="str">
        <f t="shared" si="280"/>
        <v>Actual</v>
      </c>
      <c r="S808" s="217" t="str">
        <f t="shared" si="280"/>
        <v>FCCS_YTD_Input</v>
      </c>
      <c r="T808" s="217" t="s">
        <v>850</v>
      </c>
    </row>
    <row r="809" spans="2:20" x14ac:dyDescent="0.3">
      <c r="B809" s="214" t="s">
        <v>667</v>
      </c>
      <c r="C809" s="214" t="s">
        <v>886</v>
      </c>
      <c r="D809" s="216" t="str">
        <f>[2]!HsSetValue(E809,"FCC","Scenario#"&amp;R809&amp;";Years#"&amp;J809&amp;";Period#"&amp;I809&amp;";View#"&amp;S809&amp;";Entity#"&amp;H809&amp;";Data Source#"&amp;K809&amp;";Account#"&amp;F809&amp;";Intercompany#"&amp;L809&amp;";Movement#"&amp;Q809&amp;";Consolidation#"&amp;T809&amp;";Custom1#"&amp;M809&amp;";Custom2#"&amp;N809&amp;";Custom3#"&amp;O809&amp;";Custom4#"&amp;P809&amp;"")</f>
        <v>#Invalid Syntax</v>
      </c>
      <c r="E809" s="216">
        <f>SUMIFS('Investment Analysis'!$H$22:$H$69,'Investment Analysis'!$E$22:$E$69,"Real Estate Investment Trusts",'Investment Analysis'!$AB$22:$AB$69,"8")</f>
        <v>0</v>
      </c>
      <c r="F809" s="217" t="s">
        <v>674</v>
      </c>
      <c r="G809" s="217" t="str">
        <f t="shared" si="276"/>
        <v xml:space="preserve">Inv. Analysis - Credit Quality Risk - Real Estate Investment Trusts      </v>
      </c>
      <c r="H809" s="218" t="e">
        <f t="shared" si="277"/>
        <v>#N/A</v>
      </c>
      <c r="I809" s="218" t="str">
        <f t="shared" si="277"/>
        <v>Jun</v>
      </c>
      <c r="J809" s="217" t="str">
        <f t="shared" si="277"/>
        <v>FY25</v>
      </c>
      <c r="K809" s="217" t="str">
        <f t="shared" si="277"/>
        <v>FCCS_Other Data</v>
      </c>
      <c r="L809" s="217" t="str">
        <f t="shared" si="277"/>
        <v>FCCS_No Intercompany</v>
      </c>
      <c r="M809" s="217" t="str">
        <f t="shared" si="278"/>
        <v>No Custom1</v>
      </c>
      <c r="N809" s="217" t="str">
        <f t="shared" si="277"/>
        <v>No Custom2</v>
      </c>
      <c r="O809" s="217" t="s">
        <v>61</v>
      </c>
      <c r="P809" s="217" t="s">
        <v>879</v>
      </c>
      <c r="Q809" s="217" t="str">
        <f t="shared" si="279"/>
        <v>FCCS_ClosingBalance_Input</v>
      </c>
      <c r="R809" s="217" t="str">
        <f t="shared" si="280"/>
        <v>Actual</v>
      </c>
      <c r="S809" s="217" t="str">
        <f t="shared" si="280"/>
        <v>FCCS_YTD_Input</v>
      </c>
      <c r="T809" s="217" t="s">
        <v>850</v>
      </c>
    </row>
    <row r="810" spans="2:20" x14ac:dyDescent="0.3">
      <c r="B810" s="214" t="s">
        <v>667</v>
      </c>
      <c r="C810" s="214" t="s">
        <v>886</v>
      </c>
      <c r="D810" s="216" t="str">
        <f>[2]!HsSetValue(E810,"FCC","Scenario#"&amp;R810&amp;";Years#"&amp;J810&amp;";Period#"&amp;I810&amp;";View#"&amp;S810&amp;";Entity#"&amp;H810&amp;";Data Source#"&amp;K810&amp;";Account#"&amp;F810&amp;";Intercompany#"&amp;L810&amp;";Movement#"&amp;Q810&amp;";Consolidation#"&amp;T810&amp;";Custom1#"&amp;M810&amp;";Custom2#"&amp;N810&amp;";Custom3#"&amp;O810&amp;";Custom4#"&amp;P810&amp;"")</f>
        <v>#Invalid Syntax</v>
      </c>
      <c r="E810" s="216">
        <f>SUMIFS('Investment Analysis'!$H$22:$H$69,'Investment Analysis'!$E$22:$E$69,"Real Estate Investment Trusts",'Investment Analysis'!$AB$22:$AB$69,"7")</f>
        <v>0</v>
      </c>
      <c r="F810" s="217" t="s">
        <v>674</v>
      </c>
      <c r="G810" s="217" t="str">
        <f t="shared" si="276"/>
        <v xml:space="preserve">Inv. Analysis - Credit Quality Risk - Real Estate Investment Trusts      </v>
      </c>
      <c r="H810" s="218" t="e">
        <f t="shared" si="277"/>
        <v>#N/A</v>
      </c>
      <c r="I810" s="218" t="str">
        <f t="shared" si="277"/>
        <v>Jun</v>
      </c>
      <c r="J810" s="217" t="str">
        <f t="shared" si="277"/>
        <v>FY25</v>
      </c>
      <c r="K810" s="217" t="str">
        <f t="shared" si="277"/>
        <v>FCCS_Other Data</v>
      </c>
      <c r="L810" s="217" t="str">
        <f t="shared" si="277"/>
        <v>FCCS_No Intercompany</v>
      </c>
      <c r="M810" s="217" t="str">
        <f t="shared" si="278"/>
        <v>No Custom1</v>
      </c>
      <c r="N810" s="217" t="str">
        <f t="shared" si="277"/>
        <v>No Custom2</v>
      </c>
      <c r="O810" s="217" t="s">
        <v>62</v>
      </c>
      <c r="P810" s="217" t="s">
        <v>879</v>
      </c>
      <c r="Q810" s="217" t="str">
        <f t="shared" si="279"/>
        <v>FCCS_ClosingBalance_Input</v>
      </c>
      <c r="R810" s="217" t="str">
        <f t="shared" si="280"/>
        <v>Actual</v>
      </c>
      <c r="S810" s="217" t="str">
        <f t="shared" si="280"/>
        <v>FCCS_YTD_Input</v>
      </c>
      <c r="T810" s="217" t="s">
        <v>850</v>
      </c>
    </row>
    <row r="811" spans="2:20" x14ac:dyDescent="0.3">
      <c r="B811" s="214" t="s">
        <v>667</v>
      </c>
      <c r="C811" s="214" t="s">
        <v>886</v>
      </c>
      <c r="D811" s="216" t="str">
        <f>[2]!HsSetValue(E811,"FCC","Scenario#"&amp;R811&amp;";Years#"&amp;J811&amp;";Period#"&amp;I811&amp;";View#"&amp;S811&amp;";Entity#"&amp;H811&amp;";Data Source#"&amp;K811&amp;";Account#"&amp;F811&amp;";Intercompany#"&amp;L811&amp;";Movement#"&amp;Q811&amp;";Consolidation#"&amp;T811&amp;";Custom1#"&amp;M811&amp;";Custom2#"&amp;N811&amp;";Custom3#"&amp;O811&amp;";Custom4#"&amp;P811&amp;"")</f>
        <v>#Invalid Syntax</v>
      </c>
      <c r="E811" s="216">
        <f>SUMIFS('Investment Analysis'!$H$22:$H$69,'Investment Analysis'!$E$22:$E$69,"Real Estate Investment Trusts",'Investment Analysis'!$AB$22:$AB$69,"6")</f>
        <v>0</v>
      </c>
      <c r="F811" s="217" t="s">
        <v>674</v>
      </c>
      <c r="G811" s="217" t="str">
        <f t="shared" si="276"/>
        <v xml:space="preserve">Inv. Analysis - Credit Quality Risk - Real Estate Investment Trusts      </v>
      </c>
      <c r="H811" s="218" t="e">
        <f t="shared" si="277"/>
        <v>#N/A</v>
      </c>
      <c r="I811" s="218" t="str">
        <f t="shared" si="277"/>
        <v>Jun</v>
      </c>
      <c r="J811" s="217" t="str">
        <f t="shared" si="277"/>
        <v>FY25</v>
      </c>
      <c r="K811" s="217" t="str">
        <f t="shared" si="277"/>
        <v>FCCS_Other Data</v>
      </c>
      <c r="L811" s="217" t="str">
        <f t="shared" si="277"/>
        <v>FCCS_No Intercompany</v>
      </c>
      <c r="M811" s="217" t="str">
        <f t="shared" si="278"/>
        <v>No Custom1</v>
      </c>
      <c r="N811" s="217" t="str">
        <f t="shared" si="277"/>
        <v>No Custom2</v>
      </c>
      <c r="O811" s="217" t="s">
        <v>436</v>
      </c>
      <c r="P811" s="217" t="s">
        <v>879</v>
      </c>
      <c r="Q811" s="217" t="str">
        <f t="shared" si="279"/>
        <v>FCCS_ClosingBalance_Input</v>
      </c>
      <c r="R811" s="217" t="str">
        <f t="shared" si="280"/>
        <v>Actual</v>
      </c>
      <c r="S811" s="217" t="str">
        <f t="shared" si="280"/>
        <v>FCCS_YTD_Input</v>
      </c>
      <c r="T811" s="217" t="s">
        <v>850</v>
      </c>
    </row>
    <row r="812" spans="2:20" s="371" customFormat="1" x14ac:dyDescent="0.3">
      <c r="B812" s="214" t="s">
        <v>667</v>
      </c>
      <c r="C812" s="214" t="s">
        <v>886</v>
      </c>
      <c r="D812" s="216" t="str">
        <f>[2]!HsSetValue(E812,"FCC","Scenario#"&amp;R812&amp;";Years#"&amp;J812&amp;";Period#"&amp;I812&amp;";View#"&amp;S812&amp;";Entity#"&amp;H812&amp;";Data Source#"&amp;K812&amp;";Account#"&amp;F812&amp;";Intercompany#"&amp;L812&amp;";Movement#"&amp;Q812&amp;";Consolidation#"&amp;T812&amp;";Custom1#"&amp;M812&amp;";Custom2#"&amp;N812&amp;";Custom3#"&amp;O812&amp;";Custom4#"&amp;P812&amp;"")</f>
        <v>#Invalid Syntax</v>
      </c>
      <c r="E812" s="216">
        <f>SUMIFS('Investment Analysis'!$H$22:$H$69,'Investment Analysis'!$E$22:$E$69,"Real Estate Investment Trusts",'Investment Analysis'!$AB$22:$AB$69,"5")</f>
        <v>0</v>
      </c>
      <c r="F812" s="217" t="s">
        <v>674</v>
      </c>
      <c r="G812" s="217" t="str">
        <f t="shared" si="276"/>
        <v xml:space="preserve">Inv. Analysis - Credit Quality Risk - Real Estate Investment Trusts      </v>
      </c>
      <c r="H812" s="218" t="e">
        <f t="shared" si="277"/>
        <v>#N/A</v>
      </c>
      <c r="I812" s="218" t="str">
        <f t="shared" si="277"/>
        <v>Jun</v>
      </c>
      <c r="J812" s="217" t="str">
        <f t="shared" si="277"/>
        <v>FY25</v>
      </c>
      <c r="K812" s="217" t="str">
        <f t="shared" si="277"/>
        <v>FCCS_Other Data</v>
      </c>
      <c r="L812" s="217" t="str">
        <f t="shared" si="277"/>
        <v>FCCS_No Intercompany</v>
      </c>
      <c r="M812" s="217" t="str">
        <f t="shared" si="278"/>
        <v>No Custom1</v>
      </c>
      <c r="N812" s="217" t="str">
        <f t="shared" si="277"/>
        <v>No Custom2</v>
      </c>
      <c r="O812" s="217" t="s">
        <v>434</v>
      </c>
      <c r="P812" s="217" t="s">
        <v>879</v>
      </c>
      <c r="Q812" s="217" t="str">
        <f t="shared" si="279"/>
        <v>FCCS_ClosingBalance_Input</v>
      </c>
      <c r="R812" s="217" t="str">
        <f t="shared" si="280"/>
        <v>Actual</v>
      </c>
      <c r="S812" s="217" t="str">
        <f t="shared" si="280"/>
        <v>FCCS_YTD_Input</v>
      </c>
      <c r="T812" s="217" t="s">
        <v>850</v>
      </c>
    </row>
    <row r="813" spans="2:20" s="371" customFormat="1" x14ac:dyDescent="0.3">
      <c r="B813" s="214" t="s">
        <v>667</v>
      </c>
      <c r="C813" s="214" t="s">
        <v>886</v>
      </c>
      <c r="D813" s="216" t="str">
        <f>[2]!HsSetValue(E813,"FCC","Scenario#"&amp;R813&amp;";Years#"&amp;J813&amp;";Period#"&amp;I813&amp;";View#"&amp;S813&amp;";Entity#"&amp;H813&amp;";Data Source#"&amp;K813&amp;";Account#"&amp;F813&amp;";Intercompany#"&amp;L813&amp;";Movement#"&amp;Q813&amp;";Consolidation#"&amp;T813&amp;";Custom1#"&amp;M813&amp;";Custom2#"&amp;N813&amp;";Custom3#"&amp;O813&amp;";Custom4#"&amp;P813&amp;"")</f>
        <v>#Invalid Syntax</v>
      </c>
      <c r="E813" s="216">
        <f>SUMIFS('Investment Analysis'!$H$22:$H$69,'Investment Analysis'!$E$22:$E$69,"Real Estate Investment Trusts",'Investment Analysis'!$AB$22:$AB$69,"4")</f>
        <v>0</v>
      </c>
      <c r="F813" s="217" t="s">
        <v>674</v>
      </c>
      <c r="G813" s="217" t="str">
        <f t="shared" si="276"/>
        <v xml:space="preserve">Inv. Analysis - Credit Quality Risk - Real Estate Investment Trusts      </v>
      </c>
      <c r="H813" s="218" t="e">
        <f t="shared" si="277"/>
        <v>#N/A</v>
      </c>
      <c r="I813" s="218" t="str">
        <f t="shared" si="277"/>
        <v>Jun</v>
      </c>
      <c r="J813" s="217" t="str">
        <f t="shared" si="277"/>
        <v>FY25</v>
      </c>
      <c r="K813" s="217" t="str">
        <f t="shared" si="277"/>
        <v>FCCS_Other Data</v>
      </c>
      <c r="L813" s="217" t="str">
        <f t="shared" si="277"/>
        <v>FCCS_No Intercompany</v>
      </c>
      <c r="M813" s="217" t="str">
        <f t="shared" si="278"/>
        <v>No Custom1</v>
      </c>
      <c r="N813" s="217" t="str">
        <f t="shared" si="277"/>
        <v>No Custom2</v>
      </c>
      <c r="O813" s="217" t="s">
        <v>63</v>
      </c>
      <c r="P813" s="217" t="s">
        <v>879</v>
      </c>
      <c r="Q813" s="217" t="str">
        <f t="shared" si="279"/>
        <v>FCCS_ClosingBalance_Input</v>
      </c>
      <c r="R813" s="217" t="str">
        <f t="shared" si="280"/>
        <v>Actual</v>
      </c>
      <c r="S813" s="217" t="str">
        <f t="shared" si="280"/>
        <v>FCCS_YTD_Input</v>
      </c>
      <c r="T813" s="217" t="s">
        <v>850</v>
      </c>
    </row>
    <row r="814" spans="2:20" s="371" customFormat="1" x14ac:dyDescent="0.3">
      <c r="B814" s="214" t="s">
        <v>667</v>
      </c>
      <c r="C814" s="214" t="s">
        <v>886</v>
      </c>
      <c r="D814" s="216" t="str">
        <f>[2]!HsSetValue(E814,"FCC","Scenario#"&amp;R814&amp;";Years#"&amp;J814&amp;";Period#"&amp;I814&amp;";View#"&amp;S814&amp;";Entity#"&amp;H814&amp;";Data Source#"&amp;K814&amp;";Account#"&amp;F814&amp;";Intercompany#"&amp;L814&amp;";Movement#"&amp;Q814&amp;";Consolidation#"&amp;T814&amp;";Custom1#"&amp;M814&amp;";Custom2#"&amp;N814&amp;";Custom3#"&amp;O814&amp;";Custom4#"&amp;P814&amp;"")</f>
        <v>#Invalid Syntax</v>
      </c>
      <c r="E814" s="216">
        <f>SUMIFS('Investment Analysis'!$H$22:$H$69,'Investment Analysis'!$E$22:$E$69,"Real Estate Investment Trusts",'Investment Analysis'!$AB$22:$AB$69,"3")</f>
        <v>0</v>
      </c>
      <c r="F814" s="217" t="s">
        <v>674</v>
      </c>
      <c r="G814" s="217" t="str">
        <f t="shared" si="276"/>
        <v xml:space="preserve">Inv. Analysis - Credit Quality Risk - Real Estate Investment Trusts      </v>
      </c>
      <c r="H814" s="218" t="e">
        <f t="shared" si="277"/>
        <v>#N/A</v>
      </c>
      <c r="I814" s="218" t="str">
        <f t="shared" si="277"/>
        <v>Jun</v>
      </c>
      <c r="J814" s="217" t="str">
        <f t="shared" si="277"/>
        <v>FY25</v>
      </c>
      <c r="K814" s="217" t="str">
        <f t="shared" si="277"/>
        <v>FCCS_Other Data</v>
      </c>
      <c r="L814" s="217" t="str">
        <f t="shared" si="277"/>
        <v>FCCS_No Intercompany</v>
      </c>
      <c r="M814" s="217" t="str">
        <f t="shared" si="278"/>
        <v>No Custom1</v>
      </c>
      <c r="N814" s="217" t="str">
        <f t="shared" si="277"/>
        <v>No Custom2</v>
      </c>
      <c r="O814" s="217" t="s">
        <v>622</v>
      </c>
      <c r="P814" s="217" t="s">
        <v>879</v>
      </c>
      <c r="Q814" s="217" t="str">
        <f t="shared" si="279"/>
        <v>FCCS_ClosingBalance_Input</v>
      </c>
      <c r="R814" s="217" t="str">
        <f t="shared" si="280"/>
        <v>Actual</v>
      </c>
      <c r="S814" s="217" t="str">
        <f t="shared" si="280"/>
        <v>FCCS_YTD_Input</v>
      </c>
      <c r="T814" s="217" t="s">
        <v>850</v>
      </c>
    </row>
    <row r="815" spans="2:20" s="371" customFormat="1" x14ac:dyDescent="0.3">
      <c r="B815" s="214" t="s">
        <v>667</v>
      </c>
      <c r="C815" s="214" t="s">
        <v>886</v>
      </c>
      <c r="D815" s="216" t="str">
        <f>[2]!HsSetValue(E815,"FCC","Scenario#"&amp;R815&amp;";Years#"&amp;J815&amp;";Period#"&amp;I815&amp;";View#"&amp;S815&amp;";Entity#"&amp;H815&amp;";Data Source#"&amp;K815&amp;";Account#"&amp;F815&amp;";Intercompany#"&amp;L815&amp;";Movement#"&amp;Q815&amp;";Consolidation#"&amp;T815&amp;";Custom1#"&amp;M815&amp;";Custom2#"&amp;N815&amp;";Custom3#"&amp;O815&amp;";Custom4#"&amp;P815&amp;"")</f>
        <v>#Invalid Syntax</v>
      </c>
      <c r="E815" s="216">
        <f>SUMIFS('Investment Analysis'!$H$22:$H$69,'Investment Analysis'!$E$22:$E$69,"Real Estate Investment Trusts",'Investment Analysis'!$AB$22:$AB$69,"2")</f>
        <v>0</v>
      </c>
      <c r="F815" s="217" t="s">
        <v>674</v>
      </c>
      <c r="G815" s="217" t="str">
        <f t="shared" si="276"/>
        <v xml:space="preserve">Inv. Analysis - Credit Quality Risk - Real Estate Investment Trusts      </v>
      </c>
      <c r="H815" s="218" t="e">
        <f t="shared" si="277"/>
        <v>#N/A</v>
      </c>
      <c r="I815" s="218" t="str">
        <f t="shared" si="277"/>
        <v>Jun</v>
      </c>
      <c r="J815" s="217" t="str">
        <f t="shared" si="277"/>
        <v>FY25</v>
      </c>
      <c r="K815" s="217" t="str">
        <f t="shared" si="277"/>
        <v>FCCS_Other Data</v>
      </c>
      <c r="L815" s="217" t="str">
        <f t="shared" si="277"/>
        <v>FCCS_No Intercompany</v>
      </c>
      <c r="M815" s="217" t="str">
        <f t="shared" si="278"/>
        <v>No Custom1</v>
      </c>
      <c r="N815" s="217" t="str">
        <f t="shared" si="277"/>
        <v>No Custom2</v>
      </c>
      <c r="O815" s="217" t="s">
        <v>618</v>
      </c>
      <c r="P815" s="217" t="s">
        <v>879</v>
      </c>
      <c r="Q815" s="217" t="str">
        <f t="shared" si="279"/>
        <v>FCCS_ClosingBalance_Input</v>
      </c>
      <c r="R815" s="217" t="str">
        <f t="shared" si="280"/>
        <v>Actual</v>
      </c>
      <c r="S815" s="217" t="str">
        <f t="shared" si="280"/>
        <v>FCCS_YTD_Input</v>
      </c>
      <c r="T815" s="217" t="s">
        <v>850</v>
      </c>
    </row>
    <row r="816" spans="2:20" s="371" customFormat="1" x14ac:dyDescent="0.3">
      <c r="B816" s="214" t="s">
        <v>667</v>
      </c>
      <c r="C816" s="214" t="s">
        <v>886</v>
      </c>
      <c r="D816" s="216" t="str">
        <f>[2]!HsSetValue(E816,"FCC","Scenario#"&amp;R816&amp;";Years#"&amp;J816&amp;";Period#"&amp;I816&amp;";View#"&amp;S816&amp;";Entity#"&amp;H816&amp;";Data Source#"&amp;K816&amp;";Account#"&amp;F816&amp;";Intercompany#"&amp;L816&amp;";Movement#"&amp;Q816&amp;";Consolidation#"&amp;T816&amp;";Custom1#"&amp;M816&amp;";Custom2#"&amp;N816&amp;";Custom3#"&amp;O816&amp;";Custom4#"&amp;P816&amp;"")</f>
        <v>#Invalid Syntax</v>
      </c>
      <c r="E816" s="216">
        <f>SUMIFS('Investment Analysis'!$H$22:$H$69,'Investment Analysis'!$E$22:$E$69,"Real Estate Investment Trusts",'Investment Analysis'!$AB$22:$AB$69,"1")</f>
        <v>0</v>
      </c>
      <c r="F816" s="217" t="s">
        <v>674</v>
      </c>
      <c r="G816" s="217" t="str">
        <f t="shared" si="276"/>
        <v xml:space="preserve">Inv. Analysis - Credit Quality Risk - Real Estate Investment Trusts      </v>
      </c>
      <c r="H816" s="218" t="e">
        <f t="shared" si="277"/>
        <v>#N/A</v>
      </c>
      <c r="I816" s="218" t="str">
        <f t="shared" si="277"/>
        <v>Jun</v>
      </c>
      <c r="J816" s="217" t="str">
        <f t="shared" si="277"/>
        <v>FY25</v>
      </c>
      <c r="K816" s="217" t="str">
        <f t="shared" si="277"/>
        <v>FCCS_Other Data</v>
      </c>
      <c r="L816" s="217" t="str">
        <f t="shared" si="277"/>
        <v>FCCS_No Intercompany</v>
      </c>
      <c r="M816" s="217" t="str">
        <f t="shared" si="278"/>
        <v>No Custom1</v>
      </c>
      <c r="N816" s="217" t="str">
        <f t="shared" si="277"/>
        <v>No Custom2</v>
      </c>
      <c r="O816" s="217" t="s">
        <v>64</v>
      </c>
      <c r="P816" s="217" t="s">
        <v>879</v>
      </c>
      <c r="Q816" s="217" t="str">
        <f t="shared" si="279"/>
        <v>FCCS_ClosingBalance_Input</v>
      </c>
      <c r="R816" s="217" t="str">
        <f t="shared" si="280"/>
        <v>Actual</v>
      </c>
      <c r="S816" s="217" t="str">
        <f t="shared" si="280"/>
        <v>FCCS_YTD_Input</v>
      </c>
      <c r="T816" s="217" t="s">
        <v>850</v>
      </c>
    </row>
    <row r="817" spans="2:20" x14ac:dyDescent="0.3">
      <c r="B817" s="214" t="s">
        <v>667</v>
      </c>
      <c r="C817" s="214" t="s">
        <v>886</v>
      </c>
      <c r="D817" s="216" t="str">
        <f>[2]!HsSetValue(E817,"FCC","Scenario#"&amp;R817&amp;";Years#"&amp;J817&amp;";Period#"&amp;I817&amp;";View#"&amp;S817&amp;";Entity#"&amp;H817&amp;";Data Source#"&amp;K817&amp;";Account#"&amp;F817&amp;";Intercompany#"&amp;L817&amp;";Movement#"&amp;Q817&amp;";Consolidation#"&amp;T817&amp;";Custom1#"&amp;M817&amp;";Custom2#"&amp;N817&amp;";Custom3#"&amp;O817&amp;";Custom4#"&amp;P817&amp;"")</f>
        <v>#Invalid Syntax</v>
      </c>
      <c r="E817" s="216">
        <f>SUMIFS('Investment Analysis'!$H$22:$H$69,'Investment Analysis'!$E$22:$E$69,"Real Estate Investment Trusts",'Investment Analysis'!$AI$22:$AI$69,"16")</f>
        <v>0</v>
      </c>
      <c r="F817" s="217" t="s">
        <v>674</v>
      </c>
      <c r="G817" s="217" t="str">
        <f t="shared" si="276"/>
        <v xml:space="preserve">Inv. Analysis - Credit Quality Risk - Real Estate Investment Trusts      </v>
      </c>
      <c r="H817" s="218" t="e">
        <f t="shared" si="277"/>
        <v>#N/A</v>
      </c>
      <c r="I817" s="218" t="str">
        <f t="shared" si="277"/>
        <v>Jun</v>
      </c>
      <c r="J817" s="217" t="str">
        <f t="shared" si="277"/>
        <v>FY25</v>
      </c>
      <c r="K817" s="217" t="str">
        <f t="shared" si="277"/>
        <v>FCCS_Other Data</v>
      </c>
      <c r="L817" s="217" t="str">
        <f t="shared" si="277"/>
        <v>FCCS_No Intercompany</v>
      </c>
      <c r="M817" s="217" t="str">
        <f t="shared" si="278"/>
        <v>No Custom1</v>
      </c>
      <c r="N817" s="217" t="str">
        <f t="shared" si="277"/>
        <v>No Custom2</v>
      </c>
      <c r="O817" s="217" t="s">
        <v>726</v>
      </c>
      <c r="P817" s="217" t="s">
        <v>879</v>
      </c>
      <c r="Q817" s="217" t="str">
        <f t="shared" si="279"/>
        <v>FCCS_ClosingBalance_Input</v>
      </c>
      <c r="R817" s="217" t="str">
        <f t="shared" si="280"/>
        <v>Actual</v>
      </c>
      <c r="S817" s="217" t="str">
        <f t="shared" si="280"/>
        <v>FCCS_YTD_Input</v>
      </c>
      <c r="T817" s="217" t="s">
        <v>850</v>
      </c>
    </row>
    <row r="818" spans="2:20" x14ac:dyDescent="0.3">
      <c r="B818" s="214" t="s">
        <v>667</v>
      </c>
      <c r="C818" s="214" t="s">
        <v>886</v>
      </c>
      <c r="D818" s="216" t="str">
        <f>[2]!HsSetValue(E818,"FCC","Scenario#"&amp;R818&amp;";Years#"&amp;J818&amp;";Period#"&amp;I818&amp;";View#"&amp;S818&amp;";Entity#"&amp;H818&amp;";Data Source#"&amp;K818&amp;";Account#"&amp;F818&amp;";Intercompany#"&amp;L818&amp;";Movement#"&amp;Q818&amp;";Consolidation#"&amp;T818&amp;";Custom1#"&amp;M818&amp;";Custom2#"&amp;N818&amp;";Custom3#"&amp;O818&amp;";Custom4#"&amp;P818&amp;"")</f>
        <v>#Invalid Syntax</v>
      </c>
      <c r="E818" s="216">
        <f>SUMIFS('Investment Analysis'!$H$22:$H$69,'Investment Analysis'!$E$22:$E$69,"Real Estate Investment Trusts",'Investment Analysis'!$AI$22:$AI$69,"15")</f>
        <v>0</v>
      </c>
      <c r="F818" s="217" t="s">
        <v>674</v>
      </c>
      <c r="G818" s="217" t="str">
        <f t="shared" si="276"/>
        <v xml:space="preserve">Inv. Analysis - Credit Quality Risk - Real Estate Investment Trusts      </v>
      </c>
      <c r="H818" s="218" t="e">
        <f t="shared" si="277"/>
        <v>#N/A</v>
      </c>
      <c r="I818" s="218" t="str">
        <f t="shared" si="277"/>
        <v>Jun</v>
      </c>
      <c r="J818" s="217" t="str">
        <f t="shared" si="277"/>
        <v>FY25</v>
      </c>
      <c r="K818" s="217" t="str">
        <f t="shared" si="277"/>
        <v>FCCS_Other Data</v>
      </c>
      <c r="L818" s="217" t="str">
        <f t="shared" si="277"/>
        <v>FCCS_No Intercompany</v>
      </c>
      <c r="M818" s="217" t="str">
        <f t="shared" si="278"/>
        <v>No Custom1</v>
      </c>
      <c r="N818" s="217" t="str">
        <f t="shared" si="277"/>
        <v>No Custom2</v>
      </c>
      <c r="O818" s="217" t="s">
        <v>727</v>
      </c>
      <c r="P818" s="217" t="s">
        <v>879</v>
      </c>
      <c r="Q818" s="217" t="str">
        <f t="shared" si="279"/>
        <v>FCCS_ClosingBalance_Input</v>
      </c>
      <c r="R818" s="217" t="str">
        <f t="shared" si="280"/>
        <v>Actual</v>
      </c>
      <c r="S818" s="217" t="str">
        <f t="shared" si="280"/>
        <v>FCCS_YTD_Input</v>
      </c>
      <c r="T818" s="217" t="s">
        <v>850</v>
      </c>
    </row>
    <row r="819" spans="2:20" x14ac:dyDescent="0.3">
      <c r="B819" s="214" t="s">
        <v>667</v>
      </c>
      <c r="C819" s="214" t="s">
        <v>886</v>
      </c>
      <c r="D819" s="216" t="str">
        <f>[2]!HsSetValue(E819,"FCC","Scenario#"&amp;R819&amp;";Years#"&amp;J819&amp;";Period#"&amp;I819&amp;";View#"&amp;S819&amp;";Entity#"&amp;H819&amp;";Data Source#"&amp;K819&amp;";Account#"&amp;F819&amp;";Intercompany#"&amp;L819&amp;";Movement#"&amp;Q819&amp;";Consolidation#"&amp;T819&amp;";Custom1#"&amp;M819&amp;";Custom2#"&amp;N819&amp;";Custom3#"&amp;O819&amp;";Custom4#"&amp;P819&amp;"")</f>
        <v>#Invalid Syntax</v>
      </c>
      <c r="E819" s="216">
        <f>SUMIFS('Investment Analysis'!$H$22:$H$69,'Investment Analysis'!$E$22:$E$69,"Real Estate Investment Trusts",'Investment Analysis'!$AI$22:$AI$69,"14")</f>
        <v>0</v>
      </c>
      <c r="F819" s="217" t="s">
        <v>674</v>
      </c>
      <c r="G819" s="217" t="str">
        <f t="shared" si="276"/>
        <v xml:space="preserve">Inv. Analysis - Credit Quality Risk - Real Estate Investment Trusts      </v>
      </c>
      <c r="H819" s="218" t="e">
        <f t="shared" si="277"/>
        <v>#N/A</v>
      </c>
      <c r="I819" s="218" t="str">
        <f t="shared" si="277"/>
        <v>Jun</v>
      </c>
      <c r="J819" s="217" t="str">
        <f t="shared" si="277"/>
        <v>FY25</v>
      </c>
      <c r="K819" s="217" t="str">
        <f t="shared" si="277"/>
        <v>FCCS_Other Data</v>
      </c>
      <c r="L819" s="217" t="str">
        <f t="shared" si="277"/>
        <v>FCCS_No Intercompany</v>
      </c>
      <c r="M819" s="217" t="str">
        <f t="shared" si="278"/>
        <v>No Custom1</v>
      </c>
      <c r="N819" s="217" t="str">
        <f t="shared" si="277"/>
        <v>No Custom2</v>
      </c>
      <c r="O819" s="217" t="s">
        <v>728</v>
      </c>
      <c r="P819" s="217" t="s">
        <v>879</v>
      </c>
      <c r="Q819" s="217" t="str">
        <f t="shared" si="279"/>
        <v>FCCS_ClosingBalance_Input</v>
      </c>
      <c r="R819" s="217" t="str">
        <f t="shared" si="280"/>
        <v>Actual</v>
      </c>
      <c r="S819" s="217" t="str">
        <f t="shared" si="280"/>
        <v>FCCS_YTD_Input</v>
      </c>
      <c r="T819" s="217" t="s">
        <v>850</v>
      </c>
    </row>
    <row r="820" spans="2:20" x14ac:dyDescent="0.3">
      <c r="B820" s="214" t="s">
        <v>667</v>
      </c>
      <c r="C820" s="214" t="s">
        <v>886</v>
      </c>
      <c r="D820" s="216" t="str">
        <f>[2]!HsSetValue(E820,"FCC","Scenario#"&amp;R820&amp;";Years#"&amp;J820&amp;";Period#"&amp;I820&amp;";View#"&amp;S820&amp;";Entity#"&amp;H820&amp;";Data Source#"&amp;K820&amp;";Account#"&amp;F820&amp;";Intercompany#"&amp;L820&amp;";Movement#"&amp;Q820&amp;";Consolidation#"&amp;T820&amp;";Custom1#"&amp;M820&amp;";Custom2#"&amp;N820&amp;";Custom3#"&amp;O820&amp;";Custom4#"&amp;P820&amp;"")</f>
        <v>#Invalid Syntax</v>
      </c>
      <c r="E820" s="216">
        <f>SUMIFS('Investment Analysis'!$H$22:$H$69,'Investment Analysis'!$E$22:$E$69,"Real Estate Investment Trusts",'Investment Analysis'!$AB$22:$AB$69,"0")+SUMIFS('Investment Analysis'!$H$22:$H$69,'Investment Analysis'!$E$22:$E$69,"Real Estate Investment Trusts",'Investment Analysis'!$AI$22:$AI$69,"0")</f>
        <v>0</v>
      </c>
      <c r="F820" s="217" t="s">
        <v>674</v>
      </c>
      <c r="G820" s="217" t="str">
        <f t="shared" si="276"/>
        <v xml:space="preserve">Inv. Analysis - Credit Quality Risk - Real Estate Investment Trusts      </v>
      </c>
      <c r="H820" s="218" t="e">
        <f t="shared" si="277"/>
        <v>#N/A</v>
      </c>
      <c r="I820" s="218" t="str">
        <f t="shared" si="277"/>
        <v>Jun</v>
      </c>
      <c r="J820" s="217" t="str">
        <f t="shared" si="277"/>
        <v>FY25</v>
      </c>
      <c r="K820" s="217" t="str">
        <f t="shared" si="277"/>
        <v>FCCS_Other Data</v>
      </c>
      <c r="L820" s="217" t="str">
        <f t="shared" si="277"/>
        <v>FCCS_No Intercompany</v>
      </c>
      <c r="M820" s="217" t="str">
        <f t="shared" si="278"/>
        <v>No Custom1</v>
      </c>
      <c r="N820" s="217" t="str">
        <f t="shared" si="277"/>
        <v>No Custom2</v>
      </c>
      <c r="O820" s="217" t="s">
        <v>609</v>
      </c>
      <c r="P820" s="217" t="s">
        <v>879</v>
      </c>
      <c r="Q820" s="217" t="str">
        <f t="shared" si="279"/>
        <v>FCCS_ClosingBalance_Input</v>
      </c>
      <c r="R820" s="217" t="str">
        <f t="shared" si="280"/>
        <v>Actual</v>
      </c>
      <c r="S820" s="217" t="str">
        <f t="shared" si="280"/>
        <v>FCCS_YTD_Input</v>
      </c>
      <c r="T820" s="217" t="s">
        <v>850</v>
      </c>
    </row>
    <row r="821" spans="2:20" x14ac:dyDescent="0.3">
      <c r="B821" s="210"/>
      <c r="C821" s="210"/>
      <c r="D821" s="212"/>
      <c r="E821" s="212"/>
    </row>
    <row r="822" spans="2:20" x14ac:dyDescent="0.3">
      <c r="B822" s="219" t="s">
        <v>1014</v>
      </c>
      <c r="C822" s="219" t="s">
        <v>886</v>
      </c>
      <c r="D822" s="221" t="str">
        <f>[2]!HsSetValue(E822,"FCC","Scenario#"&amp;R822&amp;";Years#"&amp;J822&amp;";Period#"&amp;I822&amp;";View#"&amp;S822&amp;";Entity#"&amp;H822&amp;";Data Source#"&amp;K822&amp;";Account#"&amp;F822&amp;";Intercompany#"&amp;L822&amp;";Movement#"&amp;Q822&amp;";Consolidation#"&amp;T822&amp;";Custom1#"&amp;M822&amp;";Custom2#"&amp;N822&amp;";Custom3#"&amp;O822&amp;";Custom4#"&amp;P822&amp;"")</f>
        <v>#Invalid Syntax</v>
      </c>
      <c r="E822" s="221">
        <f>SUMIFS('Investment Analysis'!$H$22:$H$69,'Investment Analysis'!$E$22:$E$69,"Real Estate Investment Trusts",'Investment Analysis'!$AK$22:$AK$69,"21")</f>
        <v>0</v>
      </c>
      <c r="F822" s="222" t="s">
        <v>675</v>
      </c>
      <c r="G822" s="222" t="str">
        <f>"Inv. Analysis -  FV Measurement - "&amp;C822</f>
        <v xml:space="preserve">Inv. Analysis -  FV Measurement - Real Estate Investment Trusts      </v>
      </c>
      <c r="H822" s="223" t="e">
        <f>+H$2</f>
        <v>#N/A</v>
      </c>
      <c r="I822" s="223" t="str">
        <f t="shared" ref="I822:I826" si="281">+I$2</f>
        <v>Jun</v>
      </c>
      <c r="J822" s="222" t="str">
        <f>+J$2</f>
        <v>FY25</v>
      </c>
      <c r="K822" s="222" t="s">
        <v>843</v>
      </c>
      <c r="L822" s="222" t="s">
        <v>844</v>
      </c>
      <c r="M822" s="222" t="s">
        <v>845</v>
      </c>
      <c r="N822" s="222" t="s">
        <v>846</v>
      </c>
      <c r="O822" s="222" t="s">
        <v>729</v>
      </c>
      <c r="P822" s="222" t="s">
        <v>879</v>
      </c>
      <c r="Q822" s="222" t="str">
        <f t="shared" ref="Q822:Q826" si="282">Q$2</f>
        <v>FCCS_ClosingBalance_Input</v>
      </c>
      <c r="R822" s="222" t="s">
        <v>169</v>
      </c>
      <c r="S822" s="222" t="s">
        <v>848</v>
      </c>
      <c r="T822" s="222" t="s">
        <v>850</v>
      </c>
    </row>
    <row r="823" spans="2:20" x14ac:dyDescent="0.3">
      <c r="B823" s="219" t="s">
        <v>1014</v>
      </c>
      <c r="C823" s="219" t="s">
        <v>886</v>
      </c>
      <c r="D823" s="221" t="str">
        <f>[2]!HsSetValue(E823,"FCC","Scenario#"&amp;R823&amp;";Years#"&amp;J823&amp;";Period#"&amp;I823&amp;";View#"&amp;S823&amp;";Entity#"&amp;H823&amp;";Data Source#"&amp;K823&amp;";Account#"&amp;F823&amp;";Intercompany#"&amp;L823&amp;";Movement#"&amp;Q823&amp;";Consolidation#"&amp;T823&amp;";Custom1#"&amp;M823&amp;";Custom2#"&amp;N823&amp;";Custom3#"&amp;O823&amp;";Custom4#"&amp;P823&amp;"")</f>
        <v>#Invalid Syntax</v>
      </c>
      <c r="E823" s="221">
        <f>SUMIFS('Investment Analysis'!$H$22:$H$69,'Investment Analysis'!$E$22:$E$69,"Real Estate Investment Trusts",'Investment Analysis'!$AK$22:$AK$69,"22")</f>
        <v>0</v>
      </c>
      <c r="F823" s="222" t="s">
        <v>675</v>
      </c>
      <c r="G823" s="222" t="str">
        <f>"Inv. Analysis -  FV Measurement - "&amp;C823</f>
        <v xml:space="preserve">Inv. Analysis -  FV Measurement - Real Estate Investment Trusts      </v>
      </c>
      <c r="H823" s="223" t="e">
        <f>+H$2</f>
        <v>#N/A</v>
      </c>
      <c r="I823" s="223" t="str">
        <f t="shared" si="281"/>
        <v>Jun</v>
      </c>
      <c r="J823" s="222" t="str">
        <f>+J$2</f>
        <v>FY25</v>
      </c>
      <c r="K823" s="222" t="str">
        <f t="shared" ref="K823:N826" si="283">+K$2</f>
        <v>FCCS_Other Data</v>
      </c>
      <c r="L823" s="222" t="str">
        <f t="shared" si="283"/>
        <v>FCCS_No Intercompany</v>
      </c>
      <c r="M823" s="222" t="str">
        <f>+M$1</f>
        <v>No Custom1</v>
      </c>
      <c r="N823" s="222" t="str">
        <f t="shared" si="283"/>
        <v>No Custom2</v>
      </c>
      <c r="O823" s="222" t="s">
        <v>730</v>
      </c>
      <c r="P823" s="222" t="s">
        <v>879</v>
      </c>
      <c r="Q823" s="222" t="str">
        <f t="shared" si="282"/>
        <v>FCCS_ClosingBalance_Input</v>
      </c>
      <c r="R823" s="222" t="str">
        <f t="shared" ref="R823:S826" si="284">+R$2</f>
        <v>Actual</v>
      </c>
      <c r="S823" s="222" t="str">
        <f t="shared" si="284"/>
        <v>FCCS_YTD_Input</v>
      </c>
      <c r="T823" s="222" t="s">
        <v>850</v>
      </c>
    </row>
    <row r="824" spans="2:20" x14ac:dyDescent="0.3">
      <c r="B824" s="219" t="s">
        <v>1014</v>
      </c>
      <c r="C824" s="219" t="s">
        <v>886</v>
      </c>
      <c r="D824" s="221" t="str">
        <f>[2]!HsSetValue(E824,"FCC","Scenario#"&amp;R824&amp;";Years#"&amp;J824&amp;";Period#"&amp;I824&amp;";View#"&amp;S824&amp;";Entity#"&amp;H824&amp;";Data Source#"&amp;K824&amp;";Account#"&amp;F824&amp;";Intercompany#"&amp;L824&amp;";Movement#"&amp;Q824&amp;";Consolidation#"&amp;T824&amp;";Custom1#"&amp;M824&amp;";Custom2#"&amp;N824&amp;";Custom3#"&amp;O824&amp;";Custom4#"&amp;P824&amp;"")</f>
        <v>#Invalid Syntax</v>
      </c>
      <c r="E824" s="221">
        <f>SUMIFS('Investment Analysis'!$H$22:$H$69,'Investment Analysis'!$E$22:$E$69,"Real Estate Investment Trusts",'Investment Analysis'!$AK$22:$AK$69,"23")</f>
        <v>0</v>
      </c>
      <c r="F824" s="222" t="s">
        <v>675</v>
      </c>
      <c r="G824" s="222" t="str">
        <f>"Inv. Analysis -  FV Measurement - "&amp;C824</f>
        <v xml:space="preserve">Inv. Analysis -  FV Measurement - Real Estate Investment Trusts      </v>
      </c>
      <c r="H824" s="223" t="e">
        <f>+H$2</f>
        <v>#N/A</v>
      </c>
      <c r="I824" s="223" t="str">
        <f t="shared" si="281"/>
        <v>Jun</v>
      </c>
      <c r="J824" s="222" t="str">
        <f>+J$2</f>
        <v>FY25</v>
      </c>
      <c r="K824" s="222" t="str">
        <f t="shared" si="283"/>
        <v>FCCS_Other Data</v>
      </c>
      <c r="L824" s="222" t="str">
        <f t="shared" si="283"/>
        <v>FCCS_No Intercompany</v>
      </c>
      <c r="M824" s="222" t="str">
        <f>+M$1</f>
        <v>No Custom1</v>
      </c>
      <c r="N824" s="222" t="str">
        <f t="shared" si="283"/>
        <v>No Custom2</v>
      </c>
      <c r="O824" s="222" t="s">
        <v>731</v>
      </c>
      <c r="P824" s="222" t="s">
        <v>879</v>
      </c>
      <c r="Q824" s="222" t="str">
        <f t="shared" si="282"/>
        <v>FCCS_ClosingBalance_Input</v>
      </c>
      <c r="R824" s="222" t="str">
        <f t="shared" si="284"/>
        <v>Actual</v>
      </c>
      <c r="S824" s="222" t="str">
        <f t="shared" si="284"/>
        <v>FCCS_YTD_Input</v>
      </c>
      <c r="T824" s="222" t="s">
        <v>850</v>
      </c>
    </row>
    <row r="825" spans="2:20" x14ac:dyDescent="0.3">
      <c r="B825" s="219" t="s">
        <v>1014</v>
      </c>
      <c r="C825" s="219" t="s">
        <v>886</v>
      </c>
      <c r="D825" s="221" t="str">
        <f>[2]!HsSetValue(E825,"FCC","Scenario#"&amp;R825&amp;";Years#"&amp;J825&amp;";Period#"&amp;I825&amp;";View#"&amp;S825&amp;";Entity#"&amp;H825&amp;";Data Source#"&amp;K825&amp;";Account#"&amp;F825&amp;";Intercompany#"&amp;L825&amp;";Movement#"&amp;Q825&amp;";Consolidation#"&amp;T825&amp;";Custom1#"&amp;M825&amp;";Custom2#"&amp;N825&amp;";Custom3#"&amp;O825&amp;";Custom4#"&amp;P825&amp;"")</f>
        <v>#Invalid Syntax</v>
      </c>
      <c r="E825" s="221">
        <f>SUMIFS('Investment Analysis'!$H$22:$H$69,'Investment Analysis'!$E$22:$E$69,"Real Estate Investment Trusts",'Investment Analysis'!$AK$22:$AK$69,"24")</f>
        <v>0</v>
      </c>
      <c r="F825" s="222" t="s">
        <v>675</v>
      </c>
      <c r="G825" s="222" t="str">
        <f>"Inv. Analysis -  FV Measurement - "&amp;C825</f>
        <v xml:space="preserve">Inv. Analysis -  FV Measurement - Real Estate Investment Trusts      </v>
      </c>
      <c r="H825" s="223" t="e">
        <f>+H$2</f>
        <v>#N/A</v>
      </c>
      <c r="I825" s="223" t="str">
        <f t="shared" si="281"/>
        <v>Jun</v>
      </c>
      <c r="J825" s="222" t="str">
        <f>+J$2</f>
        <v>FY25</v>
      </c>
      <c r="K825" s="222" t="str">
        <f t="shared" si="283"/>
        <v>FCCS_Other Data</v>
      </c>
      <c r="L825" s="222" t="str">
        <f t="shared" si="283"/>
        <v>FCCS_No Intercompany</v>
      </c>
      <c r="M825" s="222" t="str">
        <f>+M$1</f>
        <v>No Custom1</v>
      </c>
      <c r="N825" s="222" t="str">
        <f t="shared" si="283"/>
        <v>No Custom2</v>
      </c>
      <c r="O825" s="222" t="s">
        <v>732</v>
      </c>
      <c r="P825" s="222" t="s">
        <v>879</v>
      </c>
      <c r="Q825" s="222" t="str">
        <f t="shared" si="282"/>
        <v>FCCS_ClosingBalance_Input</v>
      </c>
      <c r="R825" s="222" t="str">
        <f t="shared" si="284"/>
        <v>Actual</v>
      </c>
      <c r="S825" s="222" t="str">
        <f t="shared" si="284"/>
        <v>FCCS_YTD_Input</v>
      </c>
      <c r="T825" s="222" t="s">
        <v>850</v>
      </c>
    </row>
    <row r="826" spans="2:20" x14ac:dyDescent="0.3">
      <c r="B826" s="219" t="s">
        <v>1014</v>
      </c>
      <c r="C826" s="219" t="s">
        <v>886</v>
      </c>
      <c r="D826" s="221" t="str">
        <f>[2]!HsSetValue(E826,"FCC","Scenario#"&amp;R826&amp;";Years#"&amp;J826&amp;";Period#"&amp;I826&amp;";View#"&amp;S826&amp;";Entity#"&amp;H826&amp;";Data Source#"&amp;K826&amp;";Account#"&amp;F826&amp;";Intercompany#"&amp;L826&amp;";Movement#"&amp;Q826&amp;";Consolidation#"&amp;T826&amp;";Custom1#"&amp;M826&amp;";Custom2#"&amp;N826&amp;";Custom3#"&amp;O826&amp;";Custom4#"&amp;P826&amp;"")</f>
        <v>#Invalid Syntax</v>
      </c>
      <c r="E826" s="221">
        <f>SUMIFS('Investment Analysis'!$H$22:$H$69,'Investment Analysis'!$E$22:$E$69,"Real Estate Investment Trusts",'Investment Analysis'!$AK$22:$AK$69,"25")</f>
        <v>0</v>
      </c>
      <c r="F826" s="222" t="s">
        <v>675</v>
      </c>
      <c r="G826" s="222" t="str">
        <f>"Inv. Analysis -  FV Measurement - "&amp;C826</f>
        <v xml:space="preserve">Inv. Analysis -  FV Measurement - Real Estate Investment Trusts      </v>
      </c>
      <c r="H826" s="223" t="e">
        <f>+H$2</f>
        <v>#N/A</v>
      </c>
      <c r="I826" s="223" t="str">
        <f t="shared" si="281"/>
        <v>Jun</v>
      </c>
      <c r="J826" s="222" t="str">
        <f>+J$2</f>
        <v>FY25</v>
      </c>
      <c r="K826" s="222" t="str">
        <f t="shared" si="283"/>
        <v>FCCS_Other Data</v>
      </c>
      <c r="L826" s="222" t="str">
        <f t="shared" si="283"/>
        <v>FCCS_No Intercompany</v>
      </c>
      <c r="M826" s="222" t="str">
        <f>+M$1</f>
        <v>No Custom1</v>
      </c>
      <c r="N826" s="222" t="str">
        <f t="shared" si="283"/>
        <v>No Custom2</v>
      </c>
      <c r="O826" s="222" t="s">
        <v>733</v>
      </c>
      <c r="P826" s="222" t="s">
        <v>879</v>
      </c>
      <c r="Q826" s="222" t="str">
        <f t="shared" si="282"/>
        <v>FCCS_ClosingBalance_Input</v>
      </c>
      <c r="R826" s="222" t="str">
        <f t="shared" si="284"/>
        <v>Actual</v>
      </c>
      <c r="S826" s="222" t="str">
        <f t="shared" si="284"/>
        <v>FCCS_YTD_Input</v>
      </c>
      <c r="T826" s="222" t="s">
        <v>850</v>
      </c>
    </row>
    <row r="827" spans="2:20" x14ac:dyDescent="0.3">
      <c r="B827" s="210"/>
      <c r="C827" s="211"/>
      <c r="D827" s="212"/>
      <c r="E827" s="212"/>
    </row>
    <row r="828" spans="2:20" x14ac:dyDescent="0.3">
      <c r="B828" s="364" t="s">
        <v>668</v>
      </c>
      <c r="C828" s="365" t="s">
        <v>93</v>
      </c>
      <c r="D828" s="366" t="str">
        <f>[2]!HsSetValue(E828,"FCC","Scenario#"&amp;R828&amp;";Years#"&amp;J828&amp;";Period#"&amp;I828&amp;";View#"&amp;S828&amp;";Entity#"&amp;H828&amp;";Data Source#"&amp;K828&amp;";Account#"&amp;F828&amp;";Intercompany#"&amp;L828&amp;";Movement#"&amp;Q828&amp;";Consolidation#"&amp;T828&amp;";Custom1#"&amp;M828&amp;";Custom2#"&amp;N828&amp;";Custom3#"&amp;O828&amp;";Custom4#"&amp;P828&amp;"")</f>
        <v>#Invalid Syntax</v>
      </c>
      <c r="E828" s="366">
        <f>SUMIF('Investment Analysis'!$E$22:$E$69,'FCC Investments - Load Tab'!C828,'Investment Analysis'!$K$22:$K$69)</f>
        <v>0</v>
      </c>
      <c r="F828" s="367" t="s">
        <v>673</v>
      </c>
      <c r="G828" s="367" t="s">
        <v>696</v>
      </c>
      <c r="H828" s="368" t="e">
        <f>+H$2</f>
        <v>#N/A</v>
      </c>
      <c r="I828" s="368" t="str">
        <f t="shared" ref="I828:I832" si="285">+I$2</f>
        <v>Jun</v>
      </c>
      <c r="J828" s="367" t="str">
        <f t="shared" si="271"/>
        <v>FY25</v>
      </c>
      <c r="K828" s="367" t="s">
        <v>843</v>
      </c>
      <c r="L828" s="367" t="s">
        <v>844</v>
      </c>
      <c r="M828" s="367" t="s">
        <v>845</v>
      </c>
      <c r="N828" s="367" t="s">
        <v>846</v>
      </c>
      <c r="O828" s="367" t="s">
        <v>721</v>
      </c>
      <c r="P828" s="367" t="s">
        <v>579</v>
      </c>
      <c r="Q828" s="367" t="str">
        <f t="shared" ref="Q828:Q832" si="286">Q$2</f>
        <v>FCCS_ClosingBalance_Input</v>
      </c>
      <c r="R828" s="367" t="s">
        <v>169</v>
      </c>
      <c r="S828" s="367" t="s">
        <v>848</v>
      </c>
      <c r="T828" s="367" t="s">
        <v>850</v>
      </c>
    </row>
    <row r="829" spans="2:20" x14ac:dyDescent="0.3">
      <c r="B829" s="364" t="s">
        <v>668</v>
      </c>
      <c r="C829" s="365" t="s">
        <v>93</v>
      </c>
      <c r="D829" s="366" t="str">
        <f>[2]!HsSetValue(E829,"FCC","Scenario#"&amp;R829&amp;";Years#"&amp;J829&amp;";Period#"&amp;I829&amp;";View#"&amp;S829&amp;";Entity#"&amp;H829&amp;";Data Source#"&amp;K829&amp;";Account#"&amp;F829&amp;";Intercompany#"&amp;L829&amp;";Movement#"&amp;Q829&amp;";Consolidation#"&amp;T829&amp;";Custom1#"&amp;M829&amp;";Custom2#"&amp;N829&amp;";Custom3#"&amp;O829&amp;";Custom4#"&amp;P829&amp;"")</f>
        <v>#Invalid Syntax</v>
      </c>
      <c r="E829" s="366">
        <f>SUMIF('Investment Analysis'!$E$22:$E$69,'FCC Investments - Load Tab'!C828,'Investment Analysis'!$L$22:$L$69)</f>
        <v>0</v>
      </c>
      <c r="F829" s="367" t="s">
        <v>673</v>
      </c>
      <c r="G829" s="367" t="s">
        <v>696</v>
      </c>
      <c r="H829" s="368" t="e">
        <f>+H$2</f>
        <v>#N/A</v>
      </c>
      <c r="I829" s="368" t="str">
        <f t="shared" si="285"/>
        <v>Jun</v>
      </c>
      <c r="J829" s="367" t="str">
        <f t="shared" si="271"/>
        <v>FY25</v>
      </c>
      <c r="K829" s="367" t="s">
        <v>843</v>
      </c>
      <c r="L829" s="367" t="s">
        <v>844</v>
      </c>
      <c r="M829" s="367" t="s">
        <v>845</v>
      </c>
      <c r="N829" s="367" t="s">
        <v>846</v>
      </c>
      <c r="O829" s="367" t="s">
        <v>722</v>
      </c>
      <c r="P829" s="367" t="s">
        <v>579</v>
      </c>
      <c r="Q829" s="367" t="str">
        <f t="shared" si="286"/>
        <v>FCCS_ClosingBalance_Input</v>
      </c>
      <c r="R829" s="367" t="s">
        <v>169</v>
      </c>
      <c r="S829" s="367" t="s">
        <v>848</v>
      </c>
      <c r="T829" s="367" t="s">
        <v>850</v>
      </c>
    </row>
    <row r="830" spans="2:20" x14ac:dyDescent="0.3">
      <c r="B830" s="364" t="s">
        <v>668</v>
      </c>
      <c r="C830" s="365" t="s">
        <v>93</v>
      </c>
      <c r="D830" s="366" t="str">
        <f>[2]!HsSetValue(E830,"FCC","Scenario#"&amp;R830&amp;";Years#"&amp;J830&amp;";Period#"&amp;I830&amp;";View#"&amp;S830&amp;";Entity#"&amp;H830&amp;";Data Source#"&amp;K830&amp;";Account#"&amp;F830&amp;";Intercompany#"&amp;L830&amp;";Movement#"&amp;Q830&amp;";Consolidation#"&amp;T830&amp;";Custom1#"&amp;M830&amp;";Custom2#"&amp;N830&amp;";Custom3#"&amp;O830&amp;";Custom4#"&amp;P830&amp;"")</f>
        <v>#Invalid Syntax</v>
      </c>
      <c r="E830" s="366">
        <f>SUMIF('Investment Analysis'!$E$22:$E$69,'FCC Investments - Load Tab'!C828,'Investment Analysis'!$M$22:$M$69)</f>
        <v>0</v>
      </c>
      <c r="F830" s="367" t="s">
        <v>673</v>
      </c>
      <c r="G830" s="367" t="s">
        <v>696</v>
      </c>
      <c r="H830" s="368" t="e">
        <f>+H$2</f>
        <v>#N/A</v>
      </c>
      <c r="I830" s="368" t="str">
        <f t="shared" si="285"/>
        <v>Jun</v>
      </c>
      <c r="J830" s="367" t="str">
        <f t="shared" si="271"/>
        <v>FY25</v>
      </c>
      <c r="K830" s="367" t="s">
        <v>843</v>
      </c>
      <c r="L830" s="367" t="s">
        <v>844</v>
      </c>
      <c r="M830" s="367" t="s">
        <v>845</v>
      </c>
      <c r="N830" s="367" t="s">
        <v>846</v>
      </c>
      <c r="O830" s="367" t="s">
        <v>723</v>
      </c>
      <c r="P830" s="367" t="s">
        <v>579</v>
      </c>
      <c r="Q830" s="367" t="str">
        <f t="shared" si="286"/>
        <v>FCCS_ClosingBalance_Input</v>
      </c>
      <c r="R830" s="367" t="s">
        <v>169</v>
      </c>
      <c r="S830" s="367" t="s">
        <v>848</v>
      </c>
      <c r="T830" s="367" t="s">
        <v>850</v>
      </c>
    </row>
    <row r="831" spans="2:20" x14ac:dyDescent="0.3">
      <c r="B831" s="364" t="s">
        <v>668</v>
      </c>
      <c r="C831" s="365" t="s">
        <v>93</v>
      </c>
      <c r="D831" s="366" t="str">
        <f>[2]!HsSetValue(E831,"FCC","Scenario#"&amp;R831&amp;";Years#"&amp;J831&amp;";Period#"&amp;I831&amp;";View#"&amp;S831&amp;";Entity#"&amp;H831&amp;";Data Source#"&amp;K831&amp;";Account#"&amp;F831&amp;";Intercompany#"&amp;L831&amp;";Movement#"&amp;Q831&amp;";Consolidation#"&amp;T831&amp;";Custom1#"&amp;M831&amp;";Custom2#"&amp;N831&amp;";Custom3#"&amp;O831&amp;";Custom4#"&amp;P831&amp;"")</f>
        <v>#Invalid Syntax</v>
      </c>
      <c r="E831" s="366">
        <f>SUMIF('Investment Analysis'!$E$22:$E$69,'FCC Investments - Load Tab'!C831,'Investment Analysis'!$N$22:$N$69)</f>
        <v>0</v>
      </c>
      <c r="F831" s="367" t="s">
        <v>673</v>
      </c>
      <c r="G831" s="367" t="s">
        <v>696</v>
      </c>
      <c r="H831" s="368" t="e">
        <f>+H$2</f>
        <v>#N/A</v>
      </c>
      <c r="I831" s="368" t="str">
        <f t="shared" si="285"/>
        <v>Jun</v>
      </c>
      <c r="J831" s="367" t="str">
        <f t="shared" si="271"/>
        <v>FY25</v>
      </c>
      <c r="K831" s="367" t="s">
        <v>843</v>
      </c>
      <c r="L831" s="367" t="s">
        <v>844</v>
      </c>
      <c r="M831" s="367" t="s">
        <v>845</v>
      </c>
      <c r="N831" s="367" t="s">
        <v>846</v>
      </c>
      <c r="O831" s="367" t="s">
        <v>724</v>
      </c>
      <c r="P831" s="367" t="s">
        <v>579</v>
      </c>
      <c r="Q831" s="367" t="str">
        <f t="shared" si="286"/>
        <v>FCCS_ClosingBalance_Input</v>
      </c>
      <c r="R831" s="367" t="s">
        <v>169</v>
      </c>
      <c r="S831" s="367" t="s">
        <v>848</v>
      </c>
      <c r="T831" s="367" t="s">
        <v>850</v>
      </c>
    </row>
    <row r="832" spans="2:20" x14ac:dyDescent="0.3">
      <c r="B832" s="364" t="s">
        <v>668</v>
      </c>
      <c r="C832" s="365" t="s">
        <v>93</v>
      </c>
      <c r="D832" s="366" t="str">
        <f>[2]!HsSetValue(E832,"FCC","Scenario#"&amp;R832&amp;";Years#"&amp;J832&amp;";Period#"&amp;I832&amp;";View#"&amp;S832&amp;";Entity#"&amp;H832&amp;";Data Source#"&amp;K832&amp;";Account#"&amp;F832&amp;";Intercompany#"&amp;L832&amp;";Movement#"&amp;Q832&amp;";Consolidation#"&amp;T832&amp;";Custom1#"&amp;M832&amp;";Custom2#"&amp;N832&amp;";Custom3#"&amp;O832&amp;";Custom4#"&amp;P832&amp;"")</f>
        <v>#Invalid Syntax</v>
      </c>
      <c r="E832" s="366">
        <f>SUMIF('Investment Analysis'!$E$2:$E$69,'FCC Investments - Load Tab'!C832,'Investment Analysis'!$O$2:$O$69)</f>
        <v>0</v>
      </c>
      <c r="F832" s="367" t="s">
        <v>673</v>
      </c>
      <c r="G832" s="367" t="s">
        <v>696</v>
      </c>
      <c r="H832" s="368" t="e">
        <f>+H$2</f>
        <v>#N/A</v>
      </c>
      <c r="I832" s="368" t="str">
        <f t="shared" si="285"/>
        <v>Jun</v>
      </c>
      <c r="J832" s="367" t="str">
        <f t="shared" si="271"/>
        <v>FY25</v>
      </c>
      <c r="K832" s="367" t="s">
        <v>843</v>
      </c>
      <c r="L832" s="367" t="s">
        <v>844</v>
      </c>
      <c r="M832" s="367" t="s">
        <v>845</v>
      </c>
      <c r="N832" s="367" t="s">
        <v>846</v>
      </c>
      <c r="O832" s="367" t="s">
        <v>725</v>
      </c>
      <c r="P832" s="367" t="s">
        <v>579</v>
      </c>
      <c r="Q832" s="367" t="str">
        <f t="shared" si="286"/>
        <v>FCCS_ClosingBalance_Input</v>
      </c>
      <c r="R832" s="367" t="s">
        <v>169</v>
      </c>
      <c r="S832" s="367" t="s">
        <v>848</v>
      </c>
      <c r="T832" s="367" t="s">
        <v>850</v>
      </c>
    </row>
    <row r="834" spans="2:20" x14ac:dyDescent="0.3">
      <c r="B834" s="214" t="s">
        <v>667</v>
      </c>
      <c r="C834" s="215" t="s">
        <v>93</v>
      </c>
      <c r="D834" s="216" t="str">
        <f>[2]!HsSetValue(E834,"FCC","Scenario#"&amp;R834&amp;";Years#"&amp;J834&amp;";Period#"&amp;I834&amp;";View#"&amp;S834&amp;";Entity#"&amp;H834&amp;";Data Source#"&amp;K834&amp;";Account#"&amp;F834&amp;";Intercompany#"&amp;L834&amp;";Movement#"&amp;Q834&amp;";Consolidation#"&amp;T834&amp;";Custom1#"&amp;M834&amp;";Custom2#"&amp;N834&amp;";Custom3#"&amp;O834&amp;";Custom4#"&amp;P834&amp;"")</f>
        <v>#Invalid Syntax</v>
      </c>
      <c r="E834" s="216">
        <f>SUMIFS('Investment Analysis'!$H$22:$H$69,'Investment Analysis'!$E$22:$E$69,"Repurchase Agreements",'Investment Analysis'!$AB$22:$AB$69,"10")</f>
        <v>0</v>
      </c>
      <c r="F834" s="217" t="s">
        <v>674</v>
      </c>
      <c r="G834" s="217" t="s">
        <v>1067</v>
      </c>
      <c r="H834" s="218" t="e">
        <f t="shared" ref="H834:N849" si="287">+H$2</f>
        <v>#N/A</v>
      </c>
      <c r="I834" s="218" t="str">
        <f t="shared" si="287"/>
        <v>Jun</v>
      </c>
      <c r="J834" s="217" t="str">
        <f t="shared" si="271"/>
        <v>FY25</v>
      </c>
      <c r="K834" s="217" t="s">
        <v>843</v>
      </c>
      <c r="L834" s="217" t="s">
        <v>844</v>
      </c>
      <c r="M834" s="217" t="s">
        <v>845</v>
      </c>
      <c r="N834" s="217" t="s">
        <v>846</v>
      </c>
      <c r="O834" s="217" t="s">
        <v>433</v>
      </c>
      <c r="P834" s="217" t="s">
        <v>579</v>
      </c>
      <c r="Q834" s="217" t="str">
        <f t="shared" ref="Q834:Q847" si="288">Q$2</f>
        <v>FCCS_ClosingBalance_Input</v>
      </c>
      <c r="R834" s="217" t="s">
        <v>169</v>
      </c>
      <c r="S834" s="217" t="s">
        <v>848</v>
      </c>
      <c r="T834" s="217" t="s">
        <v>850</v>
      </c>
    </row>
    <row r="835" spans="2:20" x14ac:dyDescent="0.3">
      <c r="B835" s="214" t="s">
        <v>667</v>
      </c>
      <c r="C835" s="215" t="s">
        <v>93</v>
      </c>
      <c r="D835" s="216" t="str">
        <f>[2]!HsSetValue(E835,"FCC","Scenario#"&amp;R835&amp;";Years#"&amp;J835&amp;";Period#"&amp;I835&amp;";View#"&amp;S835&amp;";Entity#"&amp;H835&amp;";Data Source#"&amp;K835&amp;";Account#"&amp;F835&amp;";Intercompany#"&amp;L835&amp;";Movement#"&amp;Q835&amp;";Consolidation#"&amp;T835&amp;";Custom1#"&amp;M835&amp;";Custom2#"&amp;N835&amp;";Custom3#"&amp;O835&amp;";Custom4#"&amp;P835&amp;"")</f>
        <v>#Invalid Syntax</v>
      </c>
      <c r="E835" s="216">
        <f>SUMIFS('Investment Analysis'!$H$22:$H$69,'Investment Analysis'!$E$22:$E$69,"Repurchase Agreements",'Investment Analysis'!$AB$22:$AB$69,"9")</f>
        <v>0</v>
      </c>
      <c r="F835" s="217" t="s">
        <v>674</v>
      </c>
      <c r="G835" s="217" t="s">
        <v>1067</v>
      </c>
      <c r="H835" s="218" t="e">
        <f t="shared" si="287"/>
        <v>#N/A</v>
      </c>
      <c r="I835" s="218" t="str">
        <f t="shared" si="287"/>
        <v>Jun</v>
      </c>
      <c r="J835" s="217" t="str">
        <f t="shared" si="271"/>
        <v>FY25</v>
      </c>
      <c r="K835" s="217" t="s">
        <v>843</v>
      </c>
      <c r="L835" s="217" t="s">
        <v>844</v>
      </c>
      <c r="M835" s="217" t="s">
        <v>845</v>
      </c>
      <c r="N835" s="217" t="s">
        <v>846</v>
      </c>
      <c r="O835" s="217" t="s">
        <v>596</v>
      </c>
      <c r="P835" s="217" t="s">
        <v>579</v>
      </c>
      <c r="Q835" s="217" t="str">
        <f t="shared" si="288"/>
        <v>FCCS_ClosingBalance_Input</v>
      </c>
      <c r="R835" s="217" t="s">
        <v>169</v>
      </c>
      <c r="S835" s="217" t="s">
        <v>848</v>
      </c>
      <c r="T835" s="217" t="s">
        <v>850</v>
      </c>
    </row>
    <row r="836" spans="2:20" x14ac:dyDescent="0.3">
      <c r="B836" s="214" t="s">
        <v>667</v>
      </c>
      <c r="C836" s="215" t="s">
        <v>93</v>
      </c>
      <c r="D836" s="216" t="str">
        <f>[2]!HsSetValue(E836,"FCC","Scenario#"&amp;R836&amp;";Years#"&amp;J836&amp;";Period#"&amp;I836&amp;";View#"&amp;S836&amp;";Entity#"&amp;H836&amp;";Data Source#"&amp;K836&amp;";Account#"&amp;F836&amp;";Intercompany#"&amp;L836&amp;";Movement#"&amp;Q836&amp;";Consolidation#"&amp;T836&amp;";Custom1#"&amp;M836&amp;";Custom2#"&amp;N836&amp;";Custom3#"&amp;O836&amp;";Custom4#"&amp;P836&amp;"")</f>
        <v>#Invalid Syntax</v>
      </c>
      <c r="E836" s="216">
        <f>SUMIFS('Investment Analysis'!$H$22:$H$69,'Investment Analysis'!$E$22:$E$69,"Repurchase Agreements",'Investment Analysis'!$AB$22:$AB$69,"8")</f>
        <v>0</v>
      </c>
      <c r="F836" s="217" t="s">
        <v>674</v>
      </c>
      <c r="G836" s="217" t="s">
        <v>1067</v>
      </c>
      <c r="H836" s="218" t="e">
        <f t="shared" si="287"/>
        <v>#N/A</v>
      </c>
      <c r="I836" s="218" t="str">
        <f t="shared" si="287"/>
        <v>Jun</v>
      </c>
      <c r="J836" s="217" t="str">
        <f t="shared" si="271"/>
        <v>FY25</v>
      </c>
      <c r="K836" s="217" t="s">
        <v>843</v>
      </c>
      <c r="L836" s="217" t="s">
        <v>844</v>
      </c>
      <c r="M836" s="217" t="s">
        <v>845</v>
      </c>
      <c r="N836" s="217" t="s">
        <v>846</v>
      </c>
      <c r="O836" s="217" t="s">
        <v>61</v>
      </c>
      <c r="P836" s="217" t="s">
        <v>579</v>
      </c>
      <c r="Q836" s="217" t="str">
        <f t="shared" si="288"/>
        <v>FCCS_ClosingBalance_Input</v>
      </c>
      <c r="R836" s="217" t="s">
        <v>169</v>
      </c>
      <c r="S836" s="217" t="s">
        <v>848</v>
      </c>
      <c r="T836" s="217" t="s">
        <v>850</v>
      </c>
    </row>
    <row r="837" spans="2:20" x14ac:dyDescent="0.3">
      <c r="B837" s="214" t="s">
        <v>667</v>
      </c>
      <c r="C837" s="215" t="s">
        <v>93</v>
      </c>
      <c r="D837" s="216" t="str">
        <f>[2]!HsSetValue(E837,"FCC","Scenario#"&amp;R837&amp;";Years#"&amp;J837&amp;";Period#"&amp;I837&amp;";View#"&amp;S837&amp;";Entity#"&amp;H837&amp;";Data Source#"&amp;K837&amp;";Account#"&amp;F837&amp;";Intercompany#"&amp;L837&amp;";Movement#"&amp;Q837&amp;";Consolidation#"&amp;T837&amp;";Custom1#"&amp;M837&amp;";Custom2#"&amp;N837&amp;";Custom3#"&amp;O837&amp;";Custom4#"&amp;P837&amp;"")</f>
        <v>#Invalid Syntax</v>
      </c>
      <c r="E837" s="216">
        <f>SUMIFS('Investment Analysis'!$H$22:$H$69,'Investment Analysis'!$E$22:$E$69,"Repurchase Agreements",'Investment Analysis'!$AB$22:$AB$69,"7")</f>
        <v>0</v>
      </c>
      <c r="F837" s="217" t="s">
        <v>674</v>
      </c>
      <c r="G837" s="217" t="s">
        <v>1067</v>
      </c>
      <c r="H837" s="218" t="e">
        <f t="shared" si="287"/>
        <v>#N/A</v>
      </c>
      <c r="I837" s="218" t="str">
        <f t="shared" si="287"/>
        <v>Jun</v>
      </c>
      <c r="J837" s="217" t="str">
        <f t="shared" si="271"/>
        <v>FY25</v>
      </c>
      <c r="K837" s="217" t="s">
        <v>843</v>
      </c>
      <c r="L837" s="217" t="s">
        <v>844</v>
      </c>
      <c r="M837" s="217" t="s">
        <v>845</v>
      </c>
      <c r="N837" s="217" t="s">
        <v>846</v>
      </c>
      <c r="O837" s="217" t="s">
        <v>62</v>
      </c>
      <c r="P837" s="217" t="s">
        <v>579</v>
      </c>
      <c r="Q837" s="217" t="str">
        <f t="shared" si="288"/>
        <v>FCCS_ClosingBalance_Input</v>
      </c>
      <c r="R837" s="217" t="s">
        <v>169</v>
      </c>
      <c r="S837" s="217" t="s">
        <v>848</v>
      </c>
      <c r="T837" s="217" t="s">
        <v>850</v>
      </c>
    </row>
    <row r="838" spans="2:20" x14ac:dyDescent="0.3">
      <c r="B838" s="214" t="s">
        <v>667</v>
      </c>
      <c r="C838" s="215" t="s">
        <v>93</v>
      </c>
      <c r="D838" s="216" t="str">
        <f>[2]!HsSetValue(E838,"FCC","Scenario#"&amp;R838&amp;";Years#"&amp;J838&amp;";Period#"&amp;I838&amp;";View#"&amp;S838&amp;";Entity#"&amp;H838&amp;";Data Source#"&amp;K838&amp;";Account#"&amp;F838&amp;";Intercompany#"&amp;L838&amp;";Movement#"&amp;Q838&amp;";Consolidation#"&amp;T838&amp;";Custom1#"&amp;M838&amp;";Custom2#"&amp;N838&amp;";Custom3#"&amp;O838&amp;";Custom4#"&amp;P838&amp;"")</f>
        <v>#Invalid Syntax</v>
      </c>
      <c r="E838" s="216">
        <f>SUMIFS('Investment Analysis'!$H$22:$H$69,'Investment Analysis'!$E$22:$E$69,"Repurchase Agreements",'Investment Analysis'!$AB$22:$AB$69,"6")</f>
        <v>0</v>
      </c>
      <c r="F838" s="217" t="s">
        <v>674</v>
      </c>
      <c r="G838" s="217" t="s">
        <v>1067</v>
      </c>
      <c r="H838" s="218" t="e">
        <f t="shared" si="287"/>
        <v>#N/A</v>
      </c>
      <c r="I838" s="218" t="str">
        <f t="shared" si="287"/>
        <v>Jun</v>
      </c>
      <c r="J838" s="217" t="str">
        <f t="shared" si="287"/>
        <v>FY25</v>
      </c>
      <c r="K838" s="217" t="s">
        <v>843</v>
      </c>
      <c r="L838" s="217" t="s">
        <v>844</v>
      </c>
      <c r="M838" s="217" t="s">
        <v>845</v>
      </c>
      <c r="N838" s="217" t="s">
        <v>846</v>
      </c>
      <c r="O838" s="217" t="s">
        <v>436</v>
      </c>
      <c r="P838" s="217" t="s">
        <v>579</v>
      </c>
      <c r="Q838" s="217" t="str">
        <f t="shared" si="288"/>
        <v>FCCS_ClosingBalance_Input</v>
      </c>
      <c r="R838" s="217" t="s">
        <v>169</v>
      </c>
      <c r="S838" s="217" t="s">
        <v>848</v>
      </c>
      <c r="T838" s="217" t="s">
        <v>850</v>
      </c>
    </row>
    <row r="839" spans="2:20" s="371" customFormat="1" x14ac:dyDescent="0.3">
      <c r="B839" s="214" t="s">
        <v>667</v>
      </c>
      <c r="C839" s="215" t="s">
        <v>93</v>
      </c>
      <c r="D839" s="216" t="str">
        <f>[2]!HsSetValue(E839,"FCC","Scenario#"&amp;R839&amp;";Years#"&amp;J839&amp;";Period#"&amp;I839&amp;";View#"&amp;S839&amp;";Entity#"&amp;H839&amp;";Data Source#"&amp;K839&amp;";Account#"&amp;F839&amp;";Intercompany#"&amp;L839&amp;";Movement#"&amp;Q839&amp;";Consolidation#"&amp;T839&amp;";Custom1#"&amp;M839&amp;";Custom2#"&amp;N839&amp;";Custom3#"&amp;O839&amp;";Custom4#"&amp;P839&amp;"")</f>
        <v>#Invalid Syntax</v>
      </c>
      <c r="E839" s="216">
        <f>SUMIFS('Investment Analysis'!$H$22:$H$69,'Investment Analysis'!$E$22:$E$69,"Repurchase Agreements",'Investment Analysis'!$AB$22:$AB$69,"5")</f>
        <v>0</v>
      </c>
      <c r="F839" s="217" t="s">
        <v>674</v>
      </c>
      <c r="G839" s="217" t="s">
        <v>1067</v>
      </c>
      <c r="H839" s="218" t="e">
        <f t="shared" si="287"/>
        <v>#N/A</v>
      </c>
      <c r="I839" s="218" t="str">
        <f t="shared" si="287"/>
        <v>Jun</v>
      </c>
      <c r="J839" s="217" t="str">
        <f t="shared" si="287"/>
        <v>FY25</v>
      </c>
      <c r="K839" s="217" t="str">
        <f t="shared" si="287"/>
        <v>FCCS_Other Data</v>
      </c>
      <c r="L839" s="217" t="str">
        <f t="shared" si="287"/>
        <v>FCCS_No Intercompany</v>
      </c>
      <c r="M839" s="217" t="str">
        <f>+M$1</f>
        <v>No Custom1</v>
      </c>
      <c r="N839" s="217" t="str">
        <f t="shared" si="287"/>
        <v>No Custom2</v>
      </c>
      <c r="O839" s="217" t="s">
        <v>434</v>
      </c>
      <c r="P839" s="217" t="s">
        <v>579</v>
      </c>
      <c r="Q839" s="217" t="str">
        <f t="shared" si="288"/>
        <v>FCCS_ClosingBalance_Input</v>
      </c>
      <c r="R839" s="217" t="str">
        <f t="shared" ref="R839:S843" si="289">+R$2</f>
        <v>Actual</v>
      </c>
      <c r="S839" s="217" t="str">
        <f t="shared" si="289"/>
        <v>FCCS_YTD_Input</v>
      </c>
      <c r="T839" s="217" t="s">
        <v>850</v>
      </c>
    </row>
    <row r="840" spans="2:20" s="371" customFormat="1" x14ac:dyDescent="0.3">
      <c r="B840" s="214" t="s">
        <v>667</v>
      </c>
      <c r="C840" s="215" t="s">
        <v>93</v>
      </c>
      <c r="D840" s="216" t="str">
        <f>[2]!HsSetValue(E840,"FCC","Scenario#"&amp;R840&amp;";Years#"&amp;J840&amp;";Period#"&amp;I840&amp;";View#"&amp;S840&amp;";Entity#"&amp;H840&amp;";Data Source#"&amp;K840&amp;";Account#"&amp;F840&amp;";Intercompany#"&amp;L840&amp;";Movement#"&amp;Q840&amp;";Consolidation#"&amp;T840&amp;";Custom1#"&amp;M840&amp;";Custom2#"&amp;N840&amp;";Custom3#"&amp;O840&amp;";Custom4#"&amp;P840&amp;"")</f>
        <v>#Invalid Syntax</v>
      </c>
      <c r="E840" s="216">
        <f>SUMIFS('Investment Analysis'!$H$22:$H$69,'Investment Analysis'!$E$22:$E$69,"Repurchase Agreements",'Investment Analysis'!$AB$22:$AB$69,"4")</f>
        <v>0</v>
      </c>
      <c r="F840" s="217" t="s">
        <v>674</v>
      </c>
      <c r="G840" s="217" t="s">
        <v>1067</v>
      </c>
      <c r="H840" s="218" t="e">
        <f t="shared" si="287"/>
        <v>#N/A</v>
      </c>
      <c r="I840" s="218" t="str">
        <f t="shared" si="287"/>
        <v>Jun</v>
      </c>
      <c r="J840" s="217" t="str">
        <f t="shared" si="287"/>
        <v>FY25</v>
      </c>
      <c r="K840" s="217" t="str">
        <f t="shared" si="287"/>
        <v>FCCS_Other Data</v>
      </c>
      <c r="L840" s="217" t="str">
        <f t="shared" si="287"/>
        <v>FCCS_No Intercompany</v>
      </c>
      <c r="M840" s="217" t="str">
        <f>+M$1</f>
        <v>No Custom1</v>
      </c>
      <c r="N840" s="217" t="str">
        <f t="shared" si="287"/>
        <v>No Custom2</v>
      </c>
      <c r="O840" s="217" t="s">
        <v>63</v>
      </c>
      <c r="P840" s="217" t="s">
        <v>579</v>
      </c>
      <c r="Q840" s="217" t="str">
        <f t="shared" si="288"/>
        <v>FCCS_ClosingBalance_Input</v>
      </c>
      <c r="R840" s="217" t="str">
        <f t="shared" si="289"/>
        <v>Actual</v>
      </c>
      <c r="S840" s="217" t="str">
        <f t="shared" si="289"/>
        <v>FCCS_YTD_Input</v>
      </c>
      <c r="T840" s="217" t="s">
        <v>850</v>
      </c>
    </row>
    <row r="841" spans="2:20" s="371" customFormat="1" x14ac:dyDescent="0.3">
      <c r="B841" s="214" t="s">
        <v>667</v>
      </c>
      <c r="C841" s="215" t="s">
        <v>93</v>
      </c>
      <c r="D841" s="216" t="str">
        <f>[2]!HsSetValue(E841,"FCC","Scenario#"&amp;R841&amp;";Years#"&amp;J841&amp;";Period#"&amp;I841&amp;";View#"&amp;S841&amp;";Entity#"&amp;H841&amp;";Data Source#"&amp;K841&amp;";Account#"&amp;F841&amp;";Intercompany#"&amp;L841&amp;";Movement#"&amp;Q841&amp;";Consolidation#"&amp;T841&amp;";Custom1#"&amp;M841&amp;";Custom2#"&amp;N841&amp;";Custom3#"&amp;O841&amp;";Custom4#"&amp;P841&amp;"")</f>
        <v>#Invalid Syntax</v>
      </c>
      <c r="E841" s="216">
        <f>SUMIFS('Investment Analysis'!$H$22:$H$69,'Investment Analysis'!$E$22:$E$69,"Repurchase Agreements",'Investment Analysis'!$AB$22:$AB$69,"3")</f>
        <v>0</v>
      </c>
      <c r="F841" s="217" t="s">
        <v>674</v>
      </c>
      <c r="G841" s="217" t="s">
        <v>1067</v>
      </c>
      <c r="H841" s="218" t="e">
        <f t="shared" si="287"/>
        <v>#N/A</v>
      </c>
      <c r="I841" s="218" t="str">
        <f t="shared" si="287"/>
        <v>Jun</v>
      </c>
      <c r="J841" s="217" t="str">
        <f t="shared" si="287"/>
        <v>FY25</v>
      </c>
      <c r="K841" s="217" t="str">
        <f t="shared" si="287"/>
        <v>FCCS_Other Data</v>
      </c>
      <c r="L841" s="217" t="str">
        <f t="shared" si="287"/>
        <v>FCCS_No Intercompany</v>
      </c>
      <c r="M841" s="217" t="str">
        <f>+M$1</f>
        <v>No Custom1</v>
      </c>
      <c r="N841" s="217" t="str">
        <f t="shared" si="287"/>
        <v>No Custom2</v>
      </c>
      <c r="O841" s="217" t="s">
        <v>622</v>
      </c>
      <c r="P841" s="217" t="s">
        <v>579</v>
      </c>
      <c r="Q841" s="217" t="str">
        <f t="shared" si="288"/>
        <v>FCCS_ClosingBalance_Input</v>
      </c>
      <c r="R841" s="217" t="str">
        <f t="shared" si="289"/>
        <v>Actual</v>
      </c>
      <c r="S841" s="217" t="str">
        <f t="shared" si="289"/>
        <v>FCCS_YTD_Input</v>
      </c>
      <c r="T841" s="217" t="s">
        <v>850</v>
      </c>
    </row>
    <row r="842" spans="2:20" s="371" customFormat="1" x14ac:dyDescent="0.3">
      <c r="B842" s="214" t="s">
        <v>667</v>
      </c>
      <c r="C842" s="215" t="s">
        <v>93</v>
      </c>
      <c r="D842" s="216" t="str">
        <f>[2]!HsSetValue(E842,"FCC","Scenario#"&amp;R842&amp;";Years#"&amp;J842&amp;";Period#"&amp;I842&amp;";View#"&amp;S842&amp;";Entity#"&amp;H842&amp;";Data Source#"&amp;K842&amp;";Account#"&amp;F842&amp;";Intercompany#"&amp;L842&amp;";Movement#"&amp;Q842&amp;";Consolidation#"&amp;T842&amp;";Custom1#"&amp;M842&amp;";Custom2#"&amp;N842&amp;";Custom3#"&amp;O842&amp;";Custom4#"&amp;P842&amp;"")</f>
        <v>#Invalid Syntax</v>
      </c>
      <c r="E842" s="216">
        <f>SUMIFS('Investment Analysis'!$H$22:$H$69,'Investment Analysis'!$E$22:$E$69,"Repurchase Agreements",'Investment Analysis'!$AB$22:$AB$69,"2")</f>
        <v>0</v>
      </c>
      <c r="F842" s="217" t="s">
        <v>674</v>
      </c>
      <c r="G842" s="217" t="s">
        <v>1067</v>
      </c>
      <c r="H842" s="218" t="e">
        <f t="shared" si="287"/>
        <v>#N/A</v>
      </c>
      <c r="I842" s="218" t="str">
        <f t="shared" si="287"/>
        <v>Jun</v>
      </c>
      <c r="J842" s="217" t="str">
        <f t="shared" si="287"/>
        <v>FY25</v>
      </c>
      <c r="K842" s="217" t="str">
        <f t="shared" si="287"/>
        <v>FCCS_Other Data</v>
      </c>
      <c r="L842" s="217" t="str">
        <f t="shared" si="287"/>
        <v>FCCS_No Intercompany</v>
      </c>
      <c r="M842" s="217" t="str">
        <f>+M$1</f>
        <v>No Custom1</v>
      </c>
      <c r="N842" s="217" t="str">
        <f t="shared" si="287"/>
        <v>No Custom2</v>
      </c>
      <c r="O842" s="217" t="s">
        <v>618</v>
      </c>
      <c r="P842" s="217" t="s">
        <v>579</v>
      </c>
      <c r="Q842" s="217" t="str">
        <f t="shared" si="288"/>
        <v>FCCS_ClosingBalance_Input</v>
      </c>
      <c r="R842" s="217" t="str">
        <f t="shared" si="289"/>
        <v>Actual</v>
      </c>
      <c r="S842" s="217" t="str">
        <f t="shared" si="289"/>
        <v>FCCS_YTD_Input</v>
      </c>
      <c r="T842" s="217" t="s">
        <v>850</v>
      </c>
    </row>
    <row r="843" spans="2:20" s="371" customFormat="1" x14ac:dyDescent="0.3">
      <c r="B843" s="214" t="s">
        <v>667</v>
      </c>
      <c r="C843" s="215" t="s">
        <v>93</v>
      </c>
      <c r="D843" s="216" t="str">
        <f>[2]!HsSetValue(E843,"FCC","Scenario#"&amp;R843&amp;";Years#"&amp;J843&amp;";Period#"&amp;I843&amp;";View#"&amp;S843&amp;";Entity#"&amp;H843&amp;";Data Source#"&amp;K843&amp;";Account#"&amp;F843&amp;";Intercompany#"&amp;L843&amp;";Movement#"&amp;Q843&amp;";Consolidation#"&amp;T843&amp;";Custom1#"&amp;M843&amp;";Custom2#"&amp;N843&amp;";Custom3#"&amp;O843&amp;";Custom4#"&amp;P843&amp;"")</f>
        <v>#Invalid Syntax</v>
      </c>
      <c r="E843" s="216">
        <f>SUMIFS('Investment Analysis'!$H$22:$H$69,'Investment Analysis'!$E$22:$E$69,"Repurchase Agreements",'Investment Analysis'!$AB$22:$AB$69,"1")</f>
        <v>0</v>
      </c>
      <c r="F843" s="217" t="s">
        <v>674</v>
      </c>
      <c r="G843" s="217" t="s">
        <v>1067</v>
      </c>
      <c r="H843" s="218" t="e">
        <f t="shared" si="287"/>
        <v>#N/A</v>
      </c>
      <c r="I843" s="218" t="str">
        <f t="shared" si="287"/>
        <v>Jun</v>
      </c>
      <c r="J843" s="217" t="str">
        <f t="shared" si="287"/>
        <v>FY25</v>
      </c>
      <c r="K843" s="217" t="str">
        <f t="shared" si="287"/>
        <v>FCCS_Other Data</v>
      </c>
      <c r="L843" s="217" t="str">
        <f t="shared" si="287"/>
        <v>FCCS_No Intercompany</v>
      </c>
      <c r="M843" s="217" t="str">
        <f>+M$1</f>
        <v>No Custom1</v>
      </c>
      <c r="N843" s="217" t="str">
        <f t="shared" si="287"/>
        <v>No Custom2</v>
      </c>
      <c r="O843" s="217" t="s">
        <v>64</v>
      </c>
      <c r="P843" s="217" t="s">
        <v>579</v>
      </c>
      <c r="Q843" s="217" t="str">
        <f t="shared" si="288"/>
        <v>FCCS_ClosingBalance_Input</v>
      </c>
      <c r="R843" s="217" t="str">
        <f t="shared" si="289"/>
        <v>Actual</v>
      </c>
      <c r="S843" s="217" t="str">
        <f t="shared" si="289"/>
        <v>FCCS_YTD_Input</v>
      </c>
      <c r="T843" s="217" t="s">
        <v>850</v>
      </c>
    </row>
    <row r="844" spans="2:20" x14ac:dyDescent="0.3">
      <c r="B844" s="214" t="s">
        <v>667</v>
      </c>
      <c r="C844" s="215" t="s">
        <v>93</v>
      </c>
      <c r="D844" s="216" t="str">
        <f>[2]!HsSetValue(E844,"FCC","Scenario#"&amp;R844&amp;";Years#"&amp;J844&amp;";Period#"&amp;I844&amp;";View#"&amp;S844&amp;";Entity#"&amp;H844&amp;";Data Source#"&amp;K844&amp;";Account#"&amp;F844&amp;";Intercompany#"&amp;L844&amp;";Movement#"&amp;Q844&amp;";Consolidation#"&amp;T844&amp;";Custom1#"&amp;M844&amp;";Custom2#"&amp;N844&amp;";Custom3#"&amp;O844&amp;";Custom4#"&amp;P844&amp;"")</f>
        <v>#Invalid Syntax</v>
      </c>
      <c r="E844" s="216">
        <f>SUMIFS('Investment Analysis'!$H$22:$H$69,'Investment Analysis'!$E$22:$E$69,"Repurchase Agreements",'Investment Analysis'!$AI$22:$AI$69,"16")</f>
        <v>0</v>
      </c>
      <c r="F844" s="217" t="s">
        <v>674</v>
      </c>
      <c r="G844" s="217" t="s">
        <v>1067</v>
      </c>
      <c r="H844" s="218" t="e">
        <f t="shared" si="287"/>
        <v>#N/A</v>
      </c>
      <c r="I844" s="218" t="str">
        <f t="shared" si="287"/>
        <v>Jun</v>
      </c>
      <c r="J844" s="217" t="str">
        <f t="shared" si="287"/>
        <v>FY25</v>
      </c>
      <c r="K844" s="217" t="s">
        <v>843</v>
      </c>
      <c r="L844" s="217" t="s">
        <v>844</v>
      </c>
      <c r="M844" s="217" t="s">
        <v>845</v>
      </c>
      <c r="N844" s="217" t="s">
        <v>846</v>
      </c>
      <c r="O844" s="217" t="s">
        <v>726</v>
      </c>
      <c r="P844" s="217" t="s">
        <v>579</v>
      </c>
      <c r="Q844" s="217" t="str">
        <f t="shared" si="288"/>
        <v>FCCS_ClosingBalance_Input</v>
      </c>
      <c r="R844" s="217" t="s">
        <v>169</v>
      </c>
      <c r="S844" s="217" t="s">
        <v>848</v>
      </c>
      <c r="T844" s="217" t="s">
        <v>850</v>
      </c>
    </row>
    <row r="845" spans="2:20" x14ac:dyDescent="0.3">
      <c r="B845" s="214" t="s">
        <v>667</v>
      </c>
      <c r="C845" s="215" t="s">
        <v>93</v>
      </c>
      <c r="D845" s="216" t="str">
        <f>[2]!HsSetValue(E845,"FCC","Scenario#"&amp;R845&amp;";Years#"&amp;J845&amp;";Period#"&amp;I845&amp;";View#"&amp;S845&amp;";Entity#"&amp;H845&amp;";Data Source#"&amp;K845&amp;";Account#"&amp;F845&amp;";Intercompany#"&amp;L845&amp;";Movement#"&amp;Q845&amp;";Consolidation#"&amp;T845&amp;";Custom1#"&amp;M845&amp;";Custom2#"&amp;N845&amp;";Custom3#"&amp;O845&amp;";Custom4#"&amp;P845&amp;"")</f>
        <v>#Invalid Syntax</v>
      </c>
      <c r="E845" s="216">
        <f>SUMIFS('Investment Analysis'!$H$22:$H$69,'Investment Analysis'!$E$22:$E$69,"Repurchase Agreements",'Investment Analysis'!$AI$22:$AI$69,"15")</f>
        <v>0</v>
      </c>
      <c r="F845" s="217" t="s">
        <v>674</v>
      </c>
      <c r="G845" s="217" t="s">
        <v>1067</v>
      </c>
      <c r="H845" s="218" t="e">
        <f t="shared" si="287"/>
        <v>#N/A</v>
      </c>
      <c r="I845" s="218" t="str">
        <f t="shared" si="287"/>
        <v>Jun</v>
      </c>
      <c r="J845" s="217" t="str">
        <f t="shared" si="287"/>
        <v>FY25</v>
      </c>
      <c r="K845" s="217" t="s">
        <v>843</v>
      </c>
      <c r="L845" s="217" t="s">
        <v>844</v>
      </c>
      <c r="M845" s="217" t="s">
        <v>845</v>
      </c>
      <c r="N845" s="217" t="s">
        <v>846</v>
      </c>
      <c r="O845" s="217" t="s">
        <v>727</v>
      </c>
      <c r="P845" s="217" t="s">
        <v>579</v>
      </c>
      <c r="Q845" s="217" t="str">
        <f t="shared" si="288"/>
        <v>FCCS_ClosingBalance_Input</v>
      </c>
      <c r="R845" s="217" t="s">
        <v>169</v>
      </c>
      <c r="S845" s="217" t="s">
        <v>848</v>
      </c>
      <c r="T845" s="217" t="s">
        <v>850</v>
      </c>
    </row>
    <row r="846" spans="2:20" x14ac:dyDescent="0.3">
      <c r="B846" s="214" t="s">
        <v>667</v>
      </c>
      <c r="C846" s="215" t="s">
        <v>93</v>
      </c>
      <c r="D846" s="216" t="str">
        <f>[2]!HsSetValue(E846,"FCC","Scenario#"&amp;R846&amp;";Years#"&amp;J846&amp;";Period#"&amp;I846&amp;";View#"&amp;S846&amp;";Entity#"&amp;H846&amp;";Data Source#"&amp;K846&amp;";Account#"&amp;F846&amp;";Intercompany#"&amp;L846&amp;";Movement#"&amp;Q846&amp;";Consolidation#"&amp;T846&amp;";Custom1#"&amp;M846&amp;";Custom2#"&amp;N846&amp;";Custom3#"&amp;O846&amp;";Custom4#"&amp;P846&amp;"")</f>
        <v>#Invalid Syntax</v>
      </c>
      <c r="E846" s="216">
        <f>SUMIFS('Investment Analysis'!$H$22:$H$69,'Investment Analysis'!$E$22:$E$69,"Repurchase Agreements",'Investment Analysis'!$AI$22:$AI$69,"14")</f>
        <v>0</v>
      </c>
      <c r="F846" s="217" t="s">
        <v>674</v>
      </c>
      <c r="G846" s="217" t="s">
        <v>1067</v>
      </c>
      <c r="H846" s="218" t="e">
        <f t="shared" si="287"/>
        <v>#N/A</v>
      </c>
      <c r="I846" s="218" t="str">
        <f t="shared" si="287"/>
        <v>Jun</v>
      </c>
      <c r="J846" s="217" t="str">
        <f t="shared" si="287"/>
        <v>FY25</v>
      </c>
      <c r="K846" s="217" t="s">
        <v>843</v>
      </c>
      <c r="L846" s="217" t="s">
        <v>844</v>
      </c>
      <c r="M846" s="217" t="s">
        <v>845</v>
      </c>
      <c r="N846" s="217" t="s">
        <v>846</v>
      </c>
      <c r="O846" s="217" t="s">
        <v>728</v>
      </c>
      <c r="P846" s="217" t="s">
        <v>579</v>
      </c>
      <c r="Q846" s="217" t="str">
        <f t="shared" si="288"/>
        <v>FCCS_ClosingBalance_Input</v>
      </c>
      <c r="R846" s="217" t="s">
        <v>169</v>
      </c>
      <c r="S846" s="217" t="s">
        <v>848</v>
      </c>
      <c r="T846" s="217" t="s">
        <v>850</v>
      </c>
    </row>
    <row r="847" spans="2:20" x14ac:dyDescent="0.3">
      <c r="B847" s="214" t="s">
        <v>667</v>
      </c>
      <c r="C847" s="215" t="s">
        <v>93</v>
      </c>
      <c r="D847" s="216" t="str">
        <f>[2]!HsSetValue(E847,"FCC","Scenario#"&amp;R847&amp;";Years#"&amp;J847&amp;";Period#"&amp;I847&amp;";View#"&amp;S847&amp;";Entity#"&amp;H847&amp;";Data Source#"&amp;K847&amp;";Account#"&amp;F847&amp;";Intercompany#"&amp;L847&amp;";Movement#"&amp;Q847&amp;";Consolidation#"&amp;T847&amp;";Custom1#"&amp;M847&amp;";Custom2#"&amp;N847&amp;";Custom3#"&amp;O847&amp;";Custom4#"&amp;P847&amp;"")</f>
        <v>#Invalid Syntax</v>
      </c>
      <c r="E847" s="216">
        <f>SUMIFS('Investment Analysis'!$H$22:$H$69,'Investment Analysis'!$E$22:$E$69,"Repurchase Agreements",'Investment Analysis'!$AB$22:$AB$69,"0")+SUMIFS('Investment Analysis'!$H$22:$H$69,'Investment Analysis'!$E$22:$E$69,"Repurchase Agreements",'Investment Analysis'!$AI$22:$AI$69,"0")</f>
        <v>0</v>
      </c>
      <c r="F847" s="217" t="s">
        <v>674</v>
      </c>
      <c r="G847" s="217" t="s">
        <v>1067</v>
      </c>
      <c r="H847" s="218" t="e">
        <f t="shared" si="287"/>
        <v>#N/A</v>
      </c>
      <c r="I847" s="218" t="str">
        <f t="shared" si="287"/>
        <v>Jun</v>
      </c>
      <c r="J847" s="217" t="str">
        <f t="shared" si="287"/>
        <v>FY25</v>
      </c>
      <c r="K847" s="217" t="s">
        <v>843</v>
      </c>
      <c r="L847" s="217" t="s">
        <v>844</v>
      </c>
      <c r="M847" s="217" t="s">
        <v>845</v>
      </c>
      <c r="N847" s="217" t="s">
        <v>846</v>
      </c>
      <c r="O847" s="217" t="s">
        <v>609</v>
      </c>
      <c r="P847" s="217" t="s">
        <v>579</v>
      </c>
      <c r="Q847" s="217" t="str">
        <f t="shared" si="288"/>
        <v>FCCS_ClosingBalance_Input</v>
      </c>
      <c r="R847" s="217" t="s">
        <v>169</v>
      </c>
      <c r="S847" s="217" t="s">
        <v>848</v>
      </c>
      <c r="T847" s="217" t="s">
        <v>850</v>
      </c>
    </row>
    <row r="849" spans="2:20" x14ac:dyDescent="0.3">
      <c r="B849" s="219" t="s">
        <v>1014</v>
      </c>
      <c r="C849" s="220" t="s">
        <v>93</v>
      </c>
      <c r="D849" s="221" t="str">
        <f>[2]!HsSetValue(E849,"FCC","Scenario#"&amp;R849&amp;";Years#"&amp;J849&amp;";Period#"&amp;I849&amp;";View#"&amp;S849&amp;";Entity#"&amp;H849&amp;";Data Source#"&amp;K849&amp;";Account#"&amp;F849&amp;";Intercompany#"&amp;L849&amp;";Movement#"&amp;Q849&amp;";Consolidation#"&amp;T849&amp;";Custom1#"&amp;M849&amp;";Custom2#"&amp;N849&amp;";Custom3#"&amp;O849&amp;";Custom4#"&amp;P849&amp;"")</f>
        <v>#Invalid Syntax</v>
      </c>
      <c r="E849" s="221">
        <f>SUMIFS('Investment Analysis'!$H$22:$H$69,'Investment Analysis'!$E$22:$E$69,"Repurchase Agreements",'Investment Analysis'!$AK$22:$AK$69,"21")</f>
        <v>0</v>
      </c>
      <c r="F849" s="222" t="s">
        <v>675</v>
      </c>
      <c r="G849" s="222" t="s">
        <v>1039</v>
      </c>
      <c r="H849" s="223" t="e">
        <f>+H$2</f>
        <v>#N/A</v>
      </c>
      <c r="I849" s="223" t="str">
        <f t="shared" ref="I849:J891" si="290">+I$2</f>
        <v>Jun</v>
      </c>
      <c r="J849" s="222" t="str">
        <f t="shared" si="287"/>
        <v>FY25</v>
      </c>
      <c r="K849" s="222" t="s">
        <v>843</v>
      </c>
      <c r="L849" s="222" t="s">
        <v>844</v>
      </c>
      <c r="M849" s="222" t="s">
        <v>845</v>
      </c>
      <c r="N849" s="222" t="s">
        <v>846</v>
      </c>
      <c r="O849" s="222" t="s">
        <v>729</v>
      </c>
      <c r="P849" s="222" t="s">
        <v>579</v>
      </c>
      <c r="Q849" s="222" t="str">
        <f t="shared" ref="Q849:Q859" si="291">Q$2</f>
        <v>FCCS_ClosingBalance_Input</v>
      </c>
      <c r="R849" s="222" t="s">
        <v>169</v>
      </c>
      <c r="S849" s="222" t="s">
        <v>848</v>
      </c>
      <c r="T849" s="222" t="s">
        <v>850</v>
      </c>
    </row>
    <row r="850" spans="2:20" x14ac:dyDescent="0.3">
      <c r="B850" s="219" t="s">
        <v>1014</v>
      </c>
      <c r="C850" s="220" t="s">
        <v>93</v>
      </c>
      <c r="D850" s="221" t="str">
        <f>[2]!HsSetValue(E850,"FCC","Scenario#"&amp;R850&amp;";Years#"&amp;J850&amp;";Period#"&amp;I850&amp;";View#"&amp;S850&amp;";Entity#"&amp;H850&amp;";Data Source#"&amp;K850&amp;";Account#"&amp;F850&amp;";Intercompany#"&amp;L850&amp;";Movement#"&amp;Q850&amp;";Consolidation#"&amp;T850&amp;";Custom1#"&amp;M850&amp;";Custom2#"&amp;N850&amp;";Custom3#"&amp;O850&amp;";Custom4#"&amp;P850&amp;"")</f>
        <v>#Invalid Syntax</v>
      </c>
      <c r="E850" s="221">
        <f>SUMIFS('Investment Analysis'!$H$22:$H$69,'Investment Analysis'!$E$22:$E$69,"Repurchase Agreements",'Investment Analysis'!$AK$22:$AK$69,"22")</f>
        <v>0</v>
      </c>
      <c r="F850" s="222" t="s">
        <v>675</v>
      </c>
      <c r="G850" s="222" t="s">
        <v>1039</v>
      </c>
      <c r="H850" s="223" t="e">
        <f>+H$2</f>
        <v>#N/A</v>
      </c>
      <c r="I850" s="223" t="str">
        <f t="shared" si="290"/>
        <v>Jun</v>
      </c>
      <c r="J850" s="222" t="str">
        <f t="shared" si="290"/>
        <v>FY25</v>
      </c>
      <c r="K850" s="222" t="s">
        <v>843</v>
      </c>
      <c r="L850" s="222" t="s">
        <v>844</v>
      </c>
      <c r="M850" s="222" t="s">
        <v>845</v>
      </c>
      <c r="N850" s="222" t="s">
        <v>846</v>
      </c>
      <c r="O850" s="222" t="s">
        <v>730</v>
      </c>
      <c r="P850" s="222" t="s">
        <v>579</v>
      </c>
      <c r="Q850" s="222" t="str">
        <f t="shared" si="291"/>
        <v>FCCS_ClosingBalance_Input</v>
      </c>
      <c r="R850" s="222" t="s">
        <v>169</v>
      </c>
      <c r="S850" s="222" t="s">
        <v>848</v>
      </c>
      <c r="T850" s="222" t="s">
        <v>850</v>
      </c>
    </row>
    <row r="851" spans="2:20" x14ac:dyDescent="0.3">
      <c r="B851" s="219" t="s">
        <v>1014</v>
      </c>
      <c r="C851" s="220" t="s">
        <v>93</v>
      </c>
      <c r="D851" s="221" t="str">
        <f>[2]!HsSetValue(E851,"FCC","Scenario#"&amp;R851&amp;";Years#"&amp;J851&amp;";Period#"&amp;I851&amp;";View#"&amp;S851&amp;";Entity#"&amp;H851&amp;";Data Source#"&amp;K851&amp;";Account#"&amp;F851&amp;";Intercompany#"&amp;L851&amp;";Movement#"&amp;Q851&amp;";Consolidation#"&amp;T851&amp;";Custom1#"&amp;M851&amp;";Custom2#"&amp;N851&amp;";Custom3#"&amp;O851&amp;";Custom4#"&amp;P851&amp;"")</f>
        <v>#Invalid Syntax</v>
      </c>
      <c r="E851" s="221">
        <f>SUMIFS('Investment Analysis'!$H$22:$H$69,'Investment Analysis'!$E$22:$E$69,"Repurchase Agreements",'Investment Analysis'!$AK$22:$AK$69,"23")</f>
        <v>0</v>
      </c>
      <c r="F851" s="222" t="s">
        <v>675</v>
      </c>
      <c r="G851" s="222" t="s">
        <v>1039</v>
      </c>
      <c r="H851" s="223" t="e">
        <f>+H$2</f>
        <v>#N/A</v>
      </c>
      <c r="I851" s="223" t="str">
        <f t="shared" si="290"/>
        <v>Jun</v>
      </c>
      <c r="J851" s="222" t="str">
        <f t="shared" si="290"/>
        <v>FY25</v>
      </c>
      <c r="K851" s="222" t="s">
        <v>843</v>
      </c>
      <c r="L851" s="222" t="s">
        <v>844</v>
      </c>
      <c r="M851" s="222" t="s">
        <v>845</v>
      </c>
      <c r="N851" s="222" t="s">
        <v>846</v>
      </c>
      <c r="O851" s="222" t="s">
        <v>731</v>
      </c>
      <c r="P851" s="222" t="s">
        <v>579</v>
      </c>
      <c r="Q851" s="222" t="str">
        <f t="shared" si="291"/>
        <v>FCCS_ClosingBalance_Input</v>
      </c>
      <c r="R851" s="222" t="s">
        <v>169</v>
      </c>
      <c r="S851" s="222" t="s">
        <v>848</v>
      </c>
      <c r="T851" s="222" t="s">
        <v>850</v>
      </c>
    </row>
    <row r="852" spans="2:20" x14ac:dyDescent="0.3">
      <c r="B852" s="219" t="s">
        <v>1014</v>
      </c>
      <c r="C852" s="220" t="s">
        <v>93</v>
      </c>
      <c r="D852" s="221" t="str">
        <f>[2]!HsSetValue(E852,"FCC","Scenario#"&amp;R852&amp;";Years#"&amp;J852&amp;";Period#"&amp;I852&amp;";View#"&amp;S852&amp;";Entity#"&amp;H852&amp;";Data Source#"&amp;K852&amp;";Account#"&amp;F852&amp;";Intercompany#"&amp;L852&amp;";Movement#"&amp;Q852&amp;";Consolidation#"&amp;T852&amp;";Custom1#"&amp;M852&amp;";Custom2#"&amp;N852&amp;";Custom3#"&amp;O852&amp;";Custom4#"&amp;P852&amp;"")</f>
        <v>#Invalid Syntax</v>
      </c>
      <c r="E852" s="221">
        <f>SUMIFS('Investment Analysis'!$H$22:$H$69,'Investment Analysis'!$E$22:$E$69,"Repurchase Agreements",'Investment Analysis'!$AK$22:$AK$69,"24")</f>
        <v>0</v>
      </c>
      <c r="F852" s="222" t="s">
        <v>675</v>
      </c>
      <c r="G852" s="222" t="s">
        <v>1039</v>
      </c>
      <c r="H852" s="223" t="e">
        <f>+H$2</f>
        <v>#N/A</v>
      </c>
      <c r="I852" s="223" t="str">
        <f t="shared" si="290"/>
        <v>Jun</v>
      </c>
      <c r="J852" s="222" t="str">
        <f t="shared" si="290"/>
        <v>FY25</v>
      </c>
      <c r="K852" s="222" t="s">
        <v>843</v>
      </c>
      <c r="L852" s="222" t="s">
        <v>844</v>
      </c>
      <c r="M852" s="222" t="s">
        <v>845</v>
      </c>
      <c r="N852" s="222" t="s">
        <v>846</v>
      </c>
      <c r="O852" s="222" t="s">
        <v>732</v>
      </c>
      <c r="P852" s="222" t="s">
        <v>579</v>
      </c>
      <c r="Q852" s="222" t="str">
        <f t="shared" si="291"/>
        <v>FCCS_ClosingBalance_Input</v>
      </c>
      <c r="R852" s="222" t="s">
        <v>169</v>
      </c>
      <c r="S852" s="222" t="s">
        <v>848</v>
      </c>
      <c r="T852" s="222" t="s">
        <v>850</v>
      </c>
    </row>
    <row r="853" spans="2:20" x14ac:dyDescent="0.3">
      <c r="B853" s="219" t="s">
        <v>1014</v>
      </c>
      <c r="C853" s="220" t="s">
        <v>93</v>
      </c>
      <c r="D853" s="221" t="str">
        <f>[2]!HsSetValue(E853,"FCC","Scenario#"&amp;R853&amp;";Years#"&amp;J853&amp;";Period#"&amp;I853&amp;";View#"&amp;S853&amp;";Entity#"&amp;H853&amp;";Data Source#"&amp;K853&amp;";Account#"&amp;F853&amp;";Intercompany#"&amp;L853&amp;";Movement#"&amp;Q853&amp;";Consolidation#"&amp;T853&amp;";Custom1#"&amp;M853&amp;";Custom2#"&amp;N853&amp;";Custom3#"&amp;O853&amp;";Custom4#"&amp;P853&amp;"")</f>
        <v>#Invalid Syntax</v>
      </c>
      <c r="E853" s="221">
        <f>SUMIFS('Investment Analysis'!$H$22:$H$69,'Investment Analysis'!$E$22:$E$69,"Repurchase Agreements",'Investment Analysis'!$AK$22:$AK$69,"25")</f>
        <v>0</v>
      </c>
      <c r="F853" s="222" t="s">
        <v>675</v>
      </c>
      <c r="G853" s="222" t="s">
        <v>1039</v>
      </c>
      <c r="H853" s="223" t="e">
        <f>+H$2</f>
        <v>#N/A</v>
      </c>
      <c r="I853" s="223" t="str">
        <f t="shared" si="290"/>
        <v>Jun</v>
      </c>
      <c r="J853" s="222" t="str">
        <f t="shared" si="290"/>
        <v>FY25</v>
      </c>
      <c r="K853" s="222" t="s">
        <v>843</v>
      </c>
      <c r="L853" s="222" t="s">
        <v>844</v>
      </c>
      <c r="M853" s="222" t="s">
        <v>845</v>
      </c>
      <c r="N853" s="222" t="s">
        <v>846</v>
      </c>
      <c r="O853" s="222" t="s">
        <v>733</v>
      </c>
      <c r="P853" s="222" t="s">
        <v>579</v>
      </c>
      <c r="Q853" s="222" t="str">
        <f t="shared" si="291"/>
        <v>FCCS_ClosingBalance_Input</v>
      </c>
      <c r="R853" s="222" t="s">
        <v>169</v>
      </c>
      <c r="S853" s="222" t="s">
        <v>848</v>
      </c>
      <c r="T853" s="222" t="s">
        <v>850</v>
      </c>
    </row>
    <row r="854" spans="2:20" x14ac:dyDescent="0.3">
      <c r="B854" s="210"/>
      <c r="C854" s="211"/>
      <c r="D854" s="212"/>
      <c r="E854" s="212"/>
    </row>
    <row r="855" spans="2:20" x14ac:dyDescent="0.3">
      <c r="B855" s="364" t="s">
        <v>668</v>
      </c>
      <c r="C855" s="364" t="s">
        <v>957</v>
      </c>
      <c r="D855" s="366" t="str">
        <f>[2]!HsSetValue(E855,"FCC","Scenario#"&amp;R855&amp;";Years#"&amp;J855&amp;";Period#"&amp;I855&amp;";View#"&amp;S855&amp;";Entity#"&amp;H855&amp;";Data Source#"&amp;K855&amp;";Account#"&amp;F855&amp;";Intercompany#"&amp;L855&amp;";Movement#"&amp;Q855&amp;";Consolidation#"&amp;T855&amp;";Custom1#"&amp;M855&amp;";Custom2#"&amp;N855&amp;";Custom3#"&amp;O855&amp;";Custom4#"&amp;P855&amp;"")</f>
        <v>#Invalid Syntax</v>
      </c>
      <c r="E855" s="366">
        <f>SUMIF('Investment Analysis'!$E$22:$E$69,'FCC Investments - Load Tab'!C855,'Investment Analysis'!$K$22:$K$69)</f>
        <v>0</v>
      </c>
      <c r="F855" s="367" t="s">
        <v>673</v>
      </c>
      <c r="G855" s="367" t="str">
        <f>"Inv. Analysis - Interest Rate Risk - "&amp;C855</f>
        <v>Inv. Analysis - Interest Rate Risk - Short-term Investment Funds</v>
      </c>
      <c r="H855" s="368" t="e">
        <f>+H$2</f>
        <v>#N/A</v>
      </c>
      <c r="I855" s="368" t="str">
        <f t="shared" si="290"/>
        <v>Jun</v>
      </c>
      <c r="J855" s="367" t="str">
        <f>+J$2</f>
        <v>FY25</v>
      </c>
      <c r="K855" s="367" t="s">
        <v>843</v>
      </c>
      <c r="L855" s="367" t="s">
        <v>844</v>
      </c>
      <c r="M855" s="367" t="s">
        <v>845</v>
      </c>
      <c r="N855" s="367" t="s">
        <v>846</v>
      </c>
      <c r="O855" s="367" t="s">
        <v>721</v>
      </c>
      <c r="P855" s="367" t="s">
        <v>880</v>
      </c>
      <c r="Q855" s="367" t="str">
        <f t="shared" si="291"/>
        <v>FCCS_ClosingBalance_Input</v>
      </c>
      <c r="R855" s="367" t="s">
        <v>169</v>
      </c>
      <c r="S855" s="367" t="s">
        <v>848</v>
      </c>
      <c r="T855" s="367" t="s">
        <v>850</v>
      </c>
    </row>
    <row r="856" spans="2:20" x14ac:dyDescent="0.3">
      <c r="B856" s="364" t="s">
        <v>668</v>
      </c>
      <c r="C856" s="364" t="s">
        <v>957</v>
      </c>
      <c r="D856" s="366" t="str">
        <f>[2]!HsSetValue(E856,"FCC","Scenario#"&amp;R856&amp;";Years#"&amp;J856&amp;";Period#"&amp;I856&amp;";View#"&amp;S856&amp;";Entity#"&amp;H856&amp;";Data Source#"&amp;K856&amp;";Account#"&amp;F856&amp;";Intercompany#"&amp;L856&amp;";Movement#"&amp;Q856&amp;";Consolidation#"&amp;T856&amp;";Custom1#"&amp;M856&amp;";Custom2#"&amp;N856&amp;";Custom3#"&amp;O856&amp;";Custom4#"&amp;P856&amp;"")</f>
        <v>#Invalid Syntax</v>
      </c>
      <c r="E856" s="366">
        <f>SUMIF('Investment Analysis'!$E$22:$E$69,'FCC Investments - Load Tab'!C855,'Investment Analysis'!$L$22:$L$69)</f>
        <v>0</v>
      </c>
      <c r="F856" s="367" t="s">
        <v>673</v>
      </c>
      <c r="G856" s="367" t="str">
        <f t="shared" ref="G856:G859" si="292">"Inv. Analysis - Interest Rate Risk - "&amp;C856</f>
        <v>Inv. Analysis - Interest Rate Risk - Short-term Investment Funds</v>
      </c>
      <c r="H856" s="368" t="e">
        <f>+H$2</f>
        <v>#N/A</v>
      </c>
      <c r="I856" s="368" t="str">
        <f t="shared" si="290"/>
        <v>Jun</v>
      </c>
      <c r="J856" s="367" t="str">
        <f>+J$2</f>
        <v>FY25</v>
      </c>
      <c r="K856" s="367" t="str">
        <f t="shared" ref="K856:N859" si="293">+K$2</f>
        <v>FCCS_Other Data</v>
      </c>
      <c r="L856" s="367" t="str">
        <f t="shared" si="293"/>
        <v>FCCS_No Intercompany</v>
      </c>
      <c r="M856" s="367" t="str">
        <f>+M$1</f>
        <v>No Custom1</v>
      </c>
      <c r="N856" s="367" t="str">
        <f t="shared" si="293"/>
        <v>No Custom2</v>
      </c>
      <c r="O856" s="367" t="s">
        <v>722</v>
      </c>
      <c r="P856" s="367" t="s">
        <v>880</v>
      </c>
      <c r="Q856" s="367" t="str">
        <f t="shared" si="291"/>
        <v>FCCS_ClosingBalance_Input</v>
      </c>
      <c r="R856" s="367" t="str">
        <f t="shared" ref="R856:S859" si="294">+R$2</f>
        <v>Actual</v>
      </c>
      <c r="S856" s="367" t="str">
        <f t="shared" si="294"/>
        <v>FCCS_YTD_Input</v>
      </c>
      <c r="T856" s="367" t="s">
        <v>850</v>
      </c>
    </row>
    <row r="857" spans="2:20" x14ac:dyDescent="0.3">
      <c r="B857" s="364" t="s">
        <v>668</v>
      </c>
      <c r="C857" s="364" t="s">
        <v>957</v>
      </c>
      <c r="D857" s="366" t="str">
        <f>[2]!HsSetValue(E857,"FCC","Scenario#"&amp;R857&amp;";Years#"&amp;J857&amp;";Period#"&amp;I857&amp;";View#"&amp;S857&amp;";Entity#"&amp;H857&amp;";Data Source#"&amp;K857&amp;";Account#"&amp;F857&amp;";Intercompany#"&amp;L857&amp;";Movement#"&amp;Q857&amp;";Consolidation#"&amp;T857&amp;";Custom1#"&amp;M857&amp;";Custom2#"&amp;N857&amp;";Custom3#"&amp;O857&amp;";Custom4#"&amp;P857&amp;"")</f>
        <v>#Invalid Syntax</v>
      </c>
      <c r="E857" s="366">
        <f>SUMIF('Investment Analysis'!$E$22:$E$69,'FCC Investments - Load Tab'!C855,'Investment Analysis'!$M$22:$M$69)</f>
        <v>0</v>
      </c>
      <c r="F857" s="367" t="s">
        <v>673</v>
      </c>
      <c r="G857" s="367" t="str">
        <f t="shared" si="292"/>
        <v>Inv. Analysis - Interest Rate Risk - Short-term Investment Funds</v>
      </c>
      <c r="H857" s="368" t="e">
        <f>+H$2</f>
        <v>#N/A</v>
      </c>
      <c r="I857" s="368" t="str">
        <f t="shared" si="290"/>
        <v>Jun</v>
      </c>
      <c r="J857" s="367" t="str">
        <f>+J$2</f>
        <v>FY25</v>
      </c>
      <c r="K857" s="367" t="str">
        <f t="shared" si="293"/>
        <v>FCCS_Other Data</v>
      </c>
      <c r="L857" s="367" t="str">
        <f t="shared" si="293"/>
        <v>FCCS_No Intercompany</v>
      </c>
      <c r="M857" s="367" t="str">
        <f>+M$1</f>
        <v>No Custom1</v>
      </c>
      <c r="N857" s="367" t="str">
        <f t="shared" si="293"/>
        <v>No Custom2</v>
      </c>
      <c r="O857" s="367" t="s">
        <v>723</v>
      </c>
      <c r="P857" s="367" t="s">
        <v>880</v>
      </c>
      <c r="Q857" s="367" t="str">
        <f t="shared" si="291"/>
        <v>FCCS_ClosingBalance_Input</v>
      </c>
      <c r="R857" s="367" t="str">
        <f t="shared" si="294"/>
        <v>Actual</v>
      </c>
      <c r="S857" s="367" t="str">
        <f t="shared" si="294"/>
        <v>FCCS_YTD_Input</v>
      </c>
      <c r="T857" s="367" t="s">
        <v>850</v>
      </c>
    </row>
    <row r="858" spans="2:20" x14ac:dyDescent="0.3">
      <c r="B858" s="364" t="s">
        <v>668</v>
      </c>
      <c r="C858" s="364" t="s">
        <v>957</v>
      </c>
      <c r="D858" s="366" t="str">
        <f>[2]!HsSetValue(E858,"FCC","Scenario#"&amp;R858&amp;";Years#"&amp;J858&amp;";Period#"&amp;I858&amp;";View#"&amp;S858&amp;";Entity#"&amp;H858&amp;";Data Source#"&amp;K858&amp;";Account#"&amp;F858&amp;";Intercompany#"&amp;L858&amp;";Movement#"&amp;Q858&amp;";Consolidation#"&amp;T858&amp;";Custom1#"&amp;M858&amp;";Custom2#"&amp;N858&amp;";Custom3#"&amp;O858&amp;";Custom4#"&amp;P858&amp;"")</f>
        <v>#Invalid Syntax</v>
      </c>
      <c r="E858" s="366">
        <f>SUMIF('Investment Analysis'!$E$22:$E$69,'FCC Investments - Load Tab'!C858,'Investment Analysis'!$N$22:$N$69)</f>
        <v>0</v>
      </c>
      <c r="F858" s="367" t="s">
        <v>673</v>
      </c>
      <c r="G858" s="367" t="str">
        <f t="shared" si="292"/>
        <v>Inv. Analysis - Interest Rate Risk - Short-term Investment Funds</v>
      </c>
      <c r="H858" s="368" t="e">
        <f>+H$2</f>
        <v>#N/A</v>
      </c>
      <c r="I858" s="368" t="str">
        <f t="shared" si="290"/>
        <v>Jun</v>
      </c>
      <c r="J858" s="367" t="str">
        <f>+J$2</f>
        <v>FY25</v>
      </c>
      <c r="K858" s="367" t="str">
        <f t="shared" si="293"/>
        <v>FCCS_Other Data</v>
      </c>
      <c r="L858" s="367" t="str">
        <f t="shared" si="293"/>
        <v>FCCS_No Intercompany</v>
      </c>
      <c r="M858" s="367" t="str">
        <f>+M$1</f>
        <v>No Custom1</v>
      </c>
      <c r="N858" s="367" t="str">
        <f t="shared" si="293"/>
        <v>No Custom2</v>
      </c>
      <c r="O858" s="367" t="s">
        <v>724</v>
      </c>
      <c r="P858" s="367" t="s">
        <v>880</v>
      </c>
      <c r="Q858" s="367" t="str">
        <f t="shared" si="291"/>
        <v>FCCS_ClosingBalance_Input</v>
      </c>
      <c r="R858" s="367" t="str">
        <f t="shared" si="294"/>
        <v>Actual</v>
      </c>
      <c r="S858" s="367" t="str">
        <f t="shared" si="294"/>
        <v>FCCS_YTD_Input</v>
      </c>
      <c r="T858" s="367" t="s">
        <v>850</v>
      </c>
    </row>
    <row r="859" spans="2:20" x14ac:dyDescent="0.3">
      <c r="B859" s="364" t="s">
        <v>668</v>
      </c>
      <c r="C859" s="364" t="s">
        <v>957</v>
      </c>
      <c r="D859" s="366" t="str">
        <f>[2]!HsSetValue(E859,"FCC","Scenario#"&amp;R859&amp;";Years#"&amp;J859&amp;";Period#"&amp;I859&amp;";View#"&amp;S859&amp;";Entity#"&amp;H859&amp;";Data Source#"&amp;K859&amp;";Account#"&amp;F859&amp;";Intercompany#"&amp;L859&amp;";Movement#"&amp;Q859&amp;";Consolidation#"&amp;T859&amp;";Custom1#"&amp;M859&amp;";Custom2#"&amp;N859&amp;";Custom3#"&amp;O859&amp;";Custom4#"&amp;P859&amp;"")</f>
        <v>#Invalid Syntax</v>
      </c>
      <c r="E859" s="366">
        <f>SUMIF('Investment Analysis'!$E$2:$E$69,'FCC Investments - Load Tab'!C859,'Investment Analysis'!$O$2:$O$69)</f>
        <v>0</v>
      </c>
      <c r="F859" s="367" t="s">
        <v>673</v>
      </c>
      <c r="G859" s="367" t="str">
        <f t="shared" si="292"/>
        <v>Inv. Analysis - Interest Rate Risk - Short-term Investment Funds</v>
      </c>
      <c r="H859" s="368" t="e">
        <f>+H$2</f>
        <v>#N/A</v>
      </c>
      <c r="I859" s="368" t="str">
        <f t="shared" si="290"/>
        <v>Jun</v>
      </c>
      <c r="J859" s="367" t="str">
        <f>+J$2</f>
        <v>FY25</v>
      </c>
      <c r="K859" s="367" t="str">
        <f t="shared" si="293"/>
        <v>FCCS_Other Data</v>
      </c>
      <c r="L859" s="367" t="str">
        <f t="shared" si="293"/>
        <v>FCCS_No Intercompany</v>
      </c>
      <c r="M859" s="367" t="str">
        <f>+M$1</f>
        <v>No Custom1</v>
      </c>
      <c r="N859" s="367" t="str">
        <f t="shared" si="293"/>
        <v>No Custom2</v>
      </c>
      <c r="O859" s="367" t="s">
        <v>725</v>
      </c>
      <c r="P859" s="367" t="s">
        <v>880</v>
      </c>
      <c r="Q859" s="367" t="str">
        <f t="shared" si="291"/>
        <v>FCCS_ClosingBalance_Input</v>
      </c>
      <c r="R859" s="367" t="str">
        <f t="shared" si="294"/>
        <v>Actual</v>
      </c>
      <c r="S859" s="367" t="str">
        <f t="shared" si="294"/>
        <v>FCCS_YTD_Input</v>
      </c>
      <c r="T859" s="367" t="s">
        <v>850</v>
      </c>
    </row>
    <row r="860" spans="2:20" ht="16.5" customHeight="1" x14ac:dyDescent="0.3">
      <c r="B860" s="210"/>
      <c r="C860" s="210"/>
      <c r="D860" s="212"/>
      <c r="E860" s="212"/>
    </row>
    <row r="861" spans="2:20" x14ac:dyDescent="0.3">
      <c r="B861" s="214" t="s">
        <v>667</v>
      </c>
      <c r="C861" s="214" t="s">
        <v>887</v>
      </c>
      <c r="D861" s="216" t="str">
        <f>[2]!HsSetValue(E861,"FCC","Scenario#"&amp;R861&amp;";Years#"&amp;J861&amp;";Period#"&amp;I861&amp;";View#"&amp;S861&amp;";Entity#"&amp;H861&amp;";Data Source#"&amp;K861&amp;";Account#"&amp;F861&amp;";Intercompany#"&amp;L861&amp;";Movement#"&amp;Q861&amp;";Consolidation#"&amp;T861&amp;";Custom1#"&amp;M861&amp;";Custom2#"&amp;N861&amp;";Custom3#"&amp;O861&amp;";Custom4#"&amp;P861&amp;"")</f>
        <v>#Invalid Syntax</v>
      </c>
      <c r="E861" s="216">
        <f>SUMIFS('Investment Analysis'!$H$22:$H$69,'Investment Analysis'!$E$22:$E$69,"Short-term Investment Funds",'Investment Analysis'!$AB$22:$AB$69,"10")</f>
        <v>0</v>
      </c>
      <c r="F861" s="217" t="s">
        <v>674</v>
      </c>
      <c r="G861" s="217" t="str">
        <f t="shared" ref="G861:G874" si="295">"Inv. Analysis - Credit Quality Risk - "&amp;C861</f>
        <v xml:space="preserve">Inv. Analysis - Credit Quality Risk - Short-term Investment Funds     </v>
      </c>
      <c r="H861" s="218" t="e">
        <f t="shared" ref="H861:N874" si="296">+H$2</f>
        <v>#N/A</v>
      </c>
      <c r="I861" s="218" t="str">
        <f t="shared" si="296"/>
        <v>Jun</v>
      </c>
      <c r="J861" s="217" t="str">
        <f t="shared" si="296"/>
        <v>FY25</v>
      </c>
      <c r="K861" s="217" t="str">
        <f t="shared" si="296"/>
        <v>FCCS_Other Data</v>
      </c>
      <c r="L861" s="217" t="str">
        <f t="shared" si="296"/>
        <v>FCCS_No Intercompany</v>
      </c>
      <c r="M861" s="217" t="str">
        <f t="shared" ref="M861:M874" si="297">+M$1</f>
        <v>No Custom1</v>
      </c>
      <c r="N861" s="217" t="str">
        <f t="shared" si="296"/>
        <v>No Custom2</v>
      </c>
      <c r="O861" s="217" t="s">
        <v>433</v>
      </c>
      <c r="P861" s="217" t="s">
        <v>880</v>
      </c>
      <c r="Q861" s="217" t="str">
        <f t="shared" ref="Q861:Q874" si="298">Q$2</f>
        <v>FCCS_ClosingBalance_Input</v>
      </c>
      <c r="R861" s="217" t="str">
        <f t="shared" ref="R861:S874" si="299">+R$2</f>
        <v>Actual</v>
      </c>
      <c r="S861" s="217" t="str">
        <f t="shared" si="299"/>
        <v>FCCS_YTD_Input</v>
      </c>
      <c r="T861" s="217" t="s">
        <v>850</v>
      </c>
    </row>
    <row r="862" spans="2:20" x14ac:dyDescent="0.3">
      <c r="B862" s="214" t="s">
        <v>667</v>
      </c>
      <c r="C862" s="214" t="s">
        <v>887</v>
      </c>
      <c r="D862" s="216" t="str">
        <f>[2]!HsSetValue(E862,"FCC","Scenario#"&amp;R862&amp;";Years#"&amp;J862&amp;";Period#"&amp;I862&amp;";View#"&amp;S862&amp;";Entity#"&amp;H862&amp;";Data Source#"&amp;K862&amp;";Account#"&amp;F862&amp;";Intercompany#"&amp;L862&amp;";Movement#"&amp;Q862&amp;";Consolidation#"&amp;T862&amp;";Custom1#"&amp;M862&amp;";Custom2#"&amp;N862&amp;";Custom3#"&amp;O862&amp;";Custom4#"&amp;P862&amp;"")</f>
        <v>#Invalid Syntax</v>
      </c>
      <c r="E862" s="216">
        <f>SUMIFS('Investment Analysis'!$H$22:$H$69,'Investment Analysis'!$E$22:$E$69,"Short-term Investment Funds",'Investment Analysis'!$AB$22:$AB$69,"9")</f>
        <v>0</v>
      </c>
      <c r="F862" s="217" t="s">
        <v>674</v>
      </c>
      <c r="G862" s="217" t="str">
        <f t="shared" si="295"/>
        <v xml:space="preserve">Inv. Analysis - Credit Quality Risk - Short-term Investment Funds     </v>
      </c>
      <c r="H862" s="218" t="e">
        <f t="shared" si="296"/>
        <v>#N/A</v>
      </c>
      <c r="I862" s="218" t="str">
        <f t="shared" si="296"/>
        <v>Jun</v>
      </c>
      <c r="J862" s="217" t="str">
        <f t="shared" si="296"/>
        <v>FY25</v>
      </c>
      <c r="K862" s="217" t="str">
        <f t="shared" si="296"/>
        <v>FCCS_Other Data</v>
      </c>
      <c r="L862" s="217" t="str">
        <f t="shared" si="296"/>
        <v>FCCS_No Intercompany</v>
      </c>
      <c r="M862" s="217" t="str">
        <f t="shared" si="297"/>
        <v>No Custom1</v>
      </c>
      <c r="N862" s="217" t="str">
        <f t="shared" si="296"/>
        <v>No Custom2</v>
      </c>
      <c r="O862" s="217" t="s">
        <v>596</v>
      </c>
      <c r="P862" s="217" t="s">
        <v>880</v>
      </c>
      <c r="Q862" s="217" t="str">
        <f t="shared" si="298"/>
        <v>FCCS_ClosingBalance_Input</v>
      </c>
      <c r="R862" s="217" t="str">
        <f t="shared" si="299"/>
        <v>Actual</v>
      </c>
      <c r="S862" s="217" t="str">
        <f t="shared" si="299"/>
        <v>FCCS_YTD_Input</v>
      </c>
      <c r="T862" s="217" t="s">
        <v>850</v>
      </c>
    </row>
    <row r="863" spans="2:20" x14ac:dyDescent="0.3">
      <c r="B863" s="214" t="s">
        <v>667</v>
      </c>
      <c r="C863" s="214" t="s">
        <v>887</v>
      </c>
      <c r="D863" s="216" t="str">
        <f>[2]!HsSetValue(E863,"FCC","Scenario#"&amp;R863&amp;";Years#"&amp;J863&amp;";Period#"&amp;I863&amp;";View#"&amp;S863&amp;";Entity#"&amp;H863&amp;";Data Source#"&amp;K863&amp;";Account#"&amp;F863&amp;";Intercompany#"&amp;L863&amp;";Movement#"&amp;Q863&amp;";Consolidation#"&amp;T863&amp;";Custom1#"&amp;M863&amp;";Custom2#"&amp;N863&amp;";Custom3#"&amp;O863&amp;";Custom4#"&amp;P863&amp;"")</f>
        <v>#Invalid Syntax</v>
      </c>
      <c r="E863" s="216">
        <f>SUMIFS('Investment Analysis'!$H$22:$H$69,'Investment Analysis'!$E$22:$E$69,"Short-term Investment Funds",'Investment Analysis'!$AB$22:$AB$69,"8")</f>
        <v>0</v>
      </c>
      <c r="F863" s="217" t="s">
        <v>674</v>
      </c>
      <c r="G863" s="217" t="str">
        <f t="shared" si="295"/>
        <v xml:space="preserve">Inv. Analysis - Credit Quality Risk - Short-term Investment Funds     </v>
      </c>
      <c r="H863" s="218" t="e">
        <f t="shared" si="296"/>
        <v>#N/A</v>
      </c>
      <c r="I863" s="218" t="str">
        <f t="shared" si="296"/>
        <v>Jun</v>
      </c>
      <c r="J863" s="217" t="str">
        <f t="shared" si="296"/>
        <v>FY25</v>
      </c>
      <c r="K863" s="217" t="str">
        <f t="shared" si="296"/>
        <v>FCCS_Other Data</v>
      </c>
      <c r="L863" s="217" t="str">
        <f t="shared" si="296"/>
        <v>FCCS_No Intercompany</v>
      </c>
      <c r="M863" s="217" t="str">
        <f t="shared" si="297"/>
        <v>No Custom1</v>
      </c>
      <c r="N863" s="217" t="str">
        <f t="shared" si="296"/>
        <v>No Custom2</v>
      </c>
      <c r="O863" s="217" t="s">
        <v>61</v>
      </c>
      <c r="P863" s="217" t="s">
        <v>880</v>
      </c>
      <c r="Q863" s="217" t="str">
        <f t="shared" si="298"/>
        <v>FCCS_ClosingBalance_Input</v>
      </c>
      <c r="R863" s="217" t="str">
        <f t="shared" si="299"/>
        <v>Actual</v>
      </c>
      <c r="S863" s="217" t="str">
        <f t="shared" si="299"/>
        <v>FCCS_YTD_Input</v>
      </c>
      <c r="T863" s="217" t="s">
        <v>850</v>
      </c>
    </row>
    <row r="864" spans="2:20" x14ac:dyDescent="0.3">
      <c r="B864" s="214" t="s">
        <v>667</v>
      </c>
      <c r="C864" s="214" t="s">
        <v>887</v>
      </c>
      <c r="D864" s="216" t="str">
        <f>[2]!HsSetValue(E864,"FCC","Scenario#"&amp;R864&amp;";Years#"&amp;J864&amp;";Period#"&amp;I864&amp;";View#"&amp;S864&amp;";Entity#"&amp;H864&amp;";Data Source#"&amp;K864&amp;";Account#"&amp;F864&amp;";Intercompany#"&amp;L864&amp;";Movement#"&amp;Q864&amp;";Consolidation#"&amp;T864&amp;";Custom1#"&amp;M864&amp;";Custom2#"&amp;N864&amp;";Custom3#"&amp;O864&amp;";Custom4#"&amp;P864&amp;"")</f>
        <v>#Invalid Syntax</v>
      </c>
      <c r="E864" s="216">
        <f>SUMIFS('Investment Analysis'!$H$22:$H$69,'Investment Analysis'!$E$22:$E$69,"Short-term Investment Funds",'Investment Analysis'!$AB$22:$AB$69,"7")</f>
        <v>0</v>
      </c>
      <c r="F864" s="217" t="s">
        <v>674</v>
      </c>
      <c r="G864" s="217" t="str">
        <f t="shared" si="295"/>
        <v xml:space="preserve">Inv. Analysis - Credit Quality Risk - Short-term Investment Funds     </v>
      </c>
      <c r="H864" s="218" t="e">
        <f t="shared" si="296"/>
        <v>#N/A</v>
      </c>
      <c r="I864" s="218" t="str">
        <f t="shared" si="296"/>
        <v>Jun</v>
      </c>
      <c r="J864" s="217" t="str">
        <f t="shared" si="296"/>
        <v>FY25</v>
      </c>
      <c r="K864" s="217" t="str">
        <f t="shared" si="296"/>
        <v>FCCS_Other Data</v>
      </c>
      <c r="L864" s="217" t="str">
        <f t="shared" si="296"/>
        <v>FCCS_No Intercompany</v>
      </c>
      <c r="M864" s="217" t="str">
        <f t="shared" si="297"/>
        <v>No Custom1</v>
      </c>
      <c r="N864" s="217" t="str">
        <f t="shared" si="296"/>
        <v>No Custom2</v>
      </c>
      <c r="O864" s="217" t="s">
        <v>62</v>
      </c>
      <c r="P864" s="217" t="s">
        <v>880</v>
      </c>
      <c r="Q864" s="217" t="str">
        <f t="shared" si="298"/>
        <v>FCCS_ClosingBalance_Input</v>
      </c>
      <c r="R864" s="217" t="str">
        <f t="shared" si="299"/>
        <v>Actual</v>
      </c>
      <c r="S864" s="217" t="str">
        <f t="shared" si="299"/>
        <v>FCCS_YTD_Input</v>
      </c>
      <c r="T864" s="217" t="s">
        <v>850</v>
      </c>
    </row>
    <row r="865" spans="2:20" x14ac:dyDescent="0.3">
      <c r="B865" s="214" t="s">
        <v>667</v>
      </c>
      <c r="C865" s="214" t="s">
        <v>887</v>
      </c>
      <c r="D865" s="216" t="str">
        <f>[2]!HsSetValue(E865,"FCC","Scenario#"&amp;R865&amp;";Years#"&amp;J865&amp;";Period#"&amp;I865&amp;";View#"&amp;S865&amp;";Entity#"&amp;H865&amp;";Data Source#"&amp;K865&amp;";Account#"&amp;F865&amp;";Intercompany#"&amp;L865&amp;";Movement#"&amp;Q865&amp;";Consolidation#"&amp;T865&amp;";Custom1#"&amp;M865&amp;";Custom2#"&amp;N865&amp;";Custom3#"&amp;O865&amp;";Custom4#"&amp;P865&amp;"")</f>
        <v>#Invalid Syntax</v>
      </c>
      <c r="E865" s="216">
        <f>SUMIFS('Investment Analysis'!$H$22:$H$69,'Investment Analysis'!$E$22:$E$69,"Short-term Investment Funds",'Investment Analysis'!$AB$22:$AB$69,"6")</f>
        <v>0</v>
      </c>
      <c r="F865" s="217" t="s">
        <v>674</v>
      </c>
      <c r="G865" s="217" t="str">
        <f t="shared" si="295"/>
        <v xml:space="preserve">Inv. Analysis - Credit Quality Risk - Short-term Investment Funds     </v>
      </c>
      <c r="H865" s="218" t="e">
        <f t="shared" si="296"/>
        <v>#N/A</v>
      </c>
      <c r="I865" s="218" t="str">
        <f t="shared" si="296"/>
        <v>Jun</v>
      </c>
      <c r="J865" s="217" t="str">
        <f t="shared" si="296"/>
        <v>FY25</v>
      </c>
      <c r="K865" s="217" t="str">
        <f t="shared" si="296"/>
        <v>FCCS_Other Data</v>
      </c>
      <c r="L865" s="217" t="str">
        <f t="shared" si="296"/>
        <v>FCCS_No Intercompany</v>
      </c>
      <c r="M865" s="217" t="str">
        <f t="shared" si="297"/>
        <v>No Custom1</v>
      </c>
      <c r="N865" s="217" t="str">
        <f t="shared" si="296"/>
        <v>No Custom2</v>
      </c>
      <c r="O865" s="217" t="s">
        <v>436</v>
      </c>
      <c r="P865" s="217" t="s">
        <v>880</v>
      </c>
      <c r="Q865" s="217" t="str">
        <f t="shared" si="298"/>
        <v>FCCS_ClosingBalance_Input</v>
      </c>
      <c r="R865" s="217" t="str">
        <f t="shared" si="299"/>
        <v>Actual</v>
      </c>
      <c r="S865" s="217" t="str">
        <f t="shared" si="299"/>
        <v>FCCS_YTD_Input</v>
      </c>
      <c r="T865" s="217" t="s">
        <v>850</v>
      </c>
    </row>
    <row r="866" spans="2:20" s="371" customFormat="1" x14ac:dyDescent="0.3">
      <c r="B866" s="214" t="s">
        <v>667</v>
      </c>
      <c r="C866" s="214" t="s">
        <v>887</v>
      </c>
      <c r="D866" s="216" t="str">
        <f>[2]!HsSetValue(E866,"FCC","Scenario#"&amp;R866&amp;";Years#"&amp;J866&amp;";Period#"&amp;I866&amp;";View#"&amp;S866&amp;";Entity#"&amp;H866&amp;";Data Source#"&amp;K866&amp;";Account#"&amp;F866&amp;";Intercompany#"&amp;L866&amp;";Movement#"&amp;Q866&amp;";Consolidation#"&amp;T866&amp;";Custom1#"&amp;M866&amp;";Custom2#"&amp;N866&amp;";Custom3#"&amp;O866&amp;";Custom4#"&amp;P866&amp;"")</f>
        <v>#Invalid Syntax</v>
      </c>
      <c r="E866" s="216">
        <f>SUMIFS('Investment Analysis'!$H$22:$H$69,'Investment Analysis'!$E$22:$E$69,"Short-term Investment Funds",'Investment Analysis'!$AB$22:$AB$69,"5")</f>
        <v>0</v>
      </c>
      <c r="F866" s="217" t="s">
        <v>674</v>
      </c>
      <c r="G866" s="217" t="str">
        <f t="shared" si="295"/>
        <v xml:space="preserve">Inv. Analysis - Credit Quality Risk - Short-term Investment Funds     </v>
      </c>
      <c r="H866" s="218" t="e">
        <f t="shared" si="296"/>
        <v>#N/A</v>
      </c>
      <c r="I866" s="218" t="str">
        <f t="shared" si="296"/>
        <v>Jun</v>
      </c>
      <c r="J866" s="217" t="str">
        <f t="shared" si="296"/>
        <v>FY25</v>
      </c>
      <c r="K866" s="217" t="str">
        <f t="shared" si="296"/>
        <v>FCCS_Other Data</v>
      </c>
      <c r="L866" s="217" t="str">
        <f t="shared" si="296"/>
        <v>FCCS_No Intercompany</v>
      </c>
      <c r="M866" s="217" t="str">
        <f t="shared" si="297"/>
        <v>No Custom1</v>
      </c>
      <c r="N866" s="217" t="str">
        <f t="shared" si="296"/>
        <v>No Custom2</v>
      </c>
      <c r="O866" s="217" t="s">
        <v>434</v>
      </c>
      <c r="P866" s="217" t="s">
        <v>880</v>
      </c>
      <c r="Q866" s="217" t="str">
        <f t="shared" si="298"/>
        <v>FCCS_ClosingBalance_Input</v>
      </c>
      <c r="R866" s="217" t="str">
        <f t="shared" si="299"/>
        <v>Actual</v>
      </c>
      <c r="S866" s="217" t="str">
        <f t="shared" si="299"/>
        <v>FCCS_YTD_Input</v>
      </c>
      <c r="T866" s="217" t="s">
        <v>850</v>
      </c>
    </row>
    <row r="867" spans="2:20" s="371" customFormat="1" x14ac:dyDescent="0.3">
      <c r="B867" s="214" t="s">
        <v>667</v>
      </c>
      <c r="C867" s="214" t="s">
        <v>887</v>
      </c>
      <c r="D867" s="216" t="str">
        <f>[2]!HsSetValue(E867,"FCC","Scenario#"&amp;R867&amp;";Years#"&amp;J867&amp;";Period#"&amp;I867&amp;";View#"&amp;S867&amp;";Entity#"&amp;H867&amp;";Data Source#"&amp;K867&amp;";Account#"&amp;F867&amp;";Intercompany#"&amp;L867&amp;";Movement#"&amp;Q867&amp;";Consolidation#"&amp;T867&amp;";Custom1#"&amp;M867&amp;";Custom2#"&amp;N867&amp;";Custom3#"&amp;O867&amp;";Custom4#"&amp;P867&amp;"")</f>
        <v>#Invalid Syntax</v>
      </c>
      <c r="E867" s="216">
        <f>SUMIFS('Investment Analysis'!$H$22:$H$69,'Investment Analysis'!$E$22:$E$69,"Short-term Investment Funds",'Investment Analysis'!$AB$22:$AB$69,"4")</f>
        <v>0</v>
      </c>
      <c r="F867" s="217" t="s">
        <v>674</v>
      </c>
      <c r="G867" s="217" t="str">
        <f t="shared" si="295"/>
        <v xml:space="preserve">Inv. Analysis - Credit Quality Risk - Short-term Investment Funds     </v>
      </c>
      <c r="H867" s="218" t="e">
        <f t="shared" si="296"/>
        <v>#N/A</v>
      </c>
      <c r="I867" s="218" t="str">
        <f t="shared" si="296"/>
        <v>Jun</v>
      </c>
      <c r="J867" s="217" t="str">
        <f t="shared" si="296"/>
        <v>FY25</v>
      </c>
      <c r="K867" s="217" t="str">
        <f t="shared" si="296"/>
        <v>FCCS_Other Data</v>
      </c>
      <c r="L867" s="217" t="str">
        <f t="shared" si="296"/>
        <v>FCCS_No Intercompany</v>
      </c>
      <c r="M867" s="217" t="str">
        <f t="shared" si="297"/>
        <v>No Custom1</v>
      </c>
      <c r="N867" s="217" t="str">
        <f t="shared" si="296"/>
        <v>No Custom2</v>
      </c>
      <c r="O867" s="217" t="s">
        <v>63</v>
      </c>
      <c r="P867" s="217" t="s">
        <v>880</v>
      </c>
      <c r="Q867" s="217" t="str">
        <f t="shared" si="298"/>
        <v>FCCS_ClosingBalance_Input</v>
      </c>
      <c r="R867" s="217" t="str">
        <f t="shared" si="299"/>
        <v>Actual</v>
      </c>
      <c r="S867" s="217" t="str">
        <f t="shared" si="299"/>
        <v>FCCS_YTD_Input</v>
      </c>
      <c r="T867" s="217" t="s">
        <v>850</v>
      </c>
    </row>
    <row r="868" spans="2:20" s="371" customFormat="1" x14ac:dyDescent="0.3">
      <c r="B868" s="214" t="s">
        <v>667</v>
      </c>
      <c r="C868" s="214" t="s">
        <v>887</v>
      </c>
      <c r="D868" s="216" t="str">
        <f>[2]!HsSetValue(E868,"FCC","Scenario#"&amp;R868&amp;";Years#"&amp;J868&amp;";Period#"&amp;I868&amp;";View#"&amp;S868&amp;";Entity#"&amp;H868&amp;";Data Source#"&amp;K868&amp;";Account#"&amp;F868&amp;";Intercompany#"&amp;L868&amp;";Movement#"&amp;Q868&amp;";Consolidation#"&amp;T868&amp;";Custom1#"&amp;M868&amp;";Custom2#"&amp;N868&amp;";Custom3#"&amp;O868&amp;";Custom4#"&amp;P868&amp;"")</f>
        <v>#Invalid Syntax</v>
      </c>
      <c r="E868" s="216">
        <f>SUMIFS('Investment Analysis'!$H$22:$H$69,'Investment Analysis'!$E$22:$E$69,"Short-term Investment Funds",'Investment Analysis'!$AB$22:$AB$69,"3")</f>
        <v>0</v>
      </c>
      <c r="F868" s="217" t="s">
        <v>674</v>
      </c>
      <c r="G868" s="217" t="str">
        <f t="shared" si="295"/>
        <v xml:space="preserve">Inv. Analysis - Credit Quality Risk - Short-term Investment Funds     </v>
      </c>
      <c r="H868" s="218" t="e">
        <f t="shared" si="296"/>
        <v>#N/A</v>
      </c>
      <c r="I868" s="218" t="str">
        <f t="shared" si="296"/>
        <v>Jun</v>
      </c>
      <c r="J868" s="217" t="str">
        <f t="shared" si="296"/>
        <v>FY25</v>
      </c>
      <c r="K868" s="217" t="str">
        <f t="shared" si="296"/>
        <v>FCCS_Other Data</v>
      </c>
      <c r="L868" s="217" t="str">
        <f t="shared" si="296"/>
        <v>FCCS_No Intercompany</v>
      </c>
      <c r="M868" s="217" t="str">
        <f t="shared" si="297"/>
        <v>No Custom1</v>
      </c>
      <c r="N868" s="217" t="str">
        <f t="shared" si="296"/>
        <v>No Custom2</v>
      </c>
      <c r="O868" s="217" t="s">
        <v>622</v>
      </c>
      <c r="P868" s="217" t="s">
        <v>880</v>
      </c>
      <c r="Q868" s="217" t="str">
        <f t="shared" si="298"/>
        <v>FCCS_ClosingBalance_Input</v>
      </c>
      <c r="R868" s="217" t="str">
        <f t="shared" si="299"/>
        <v>Actual</v>
      </c>
      <c r="S868" s="217" t="str">
        <f t="shared" si="299"/>
        <v>FCCS_YTD_Input</v>
      </c>
      <c r="T868" s="217" t="s">
        <v>850</v>
      </c>
    </row>
    <row r="869" spans="2:20" s="371" customFormat="1" x14ac:dyDescent="0.3">
      <c r="B869" s="214" t="s">
        <v>667</v>
      </c>
      <c r="C869" s="214" t="s">
        <v>887</v>
      </c>
      <c r="D869" s="216" t="str">
        <f>[2]!HsSetValue(E869,"FCC","Scenario#"&amp;R869&amp;";Years#"&amp;J869&amp;";Period#"&amp;I869&amp;";View#"&amp;S869&amp;";Entity#"&amp;H869&amp;";Data Source#"&amp;K869&amp;";Account#"&amp;F869&amp;";Intercompany#"&amp;L869&amp;";Movement#"&amp;Q869&amp;";Consolidation#"&amp;T869&amp;";Custom1#"&amp;M869&amp;";Custom2#"&amp;N869&amp;";Custom3#"&amp;O869&amp;";Custom4#"&amp;P869&amp;"")</f>
        <v>#Invalid Syntax</v>
      </c>
      <c r="E869" s="216">
        <f>SUMIFS('Investment Analysis'!$H$22:$H$69,'Investment Analysis'!$E$22:$E$69,"Short-term Investment Funds",'Investment Analysis'!$AB$22:$AB$69,"2")</f>
        <v>0</v>
      </c>
      <c r="F869" s="217" t="s">
        <v>674</v>
      </c>
      <c r="G869" s="217" t="str">
        <f t="shared" si="295"/>
        <v xml:space="preserve">Inv. Analysis - Credit Quality Risk - Short-term Investment Funds     </v>
      </c>
      <c r="H869" s="218" t="e">
        <f t="shared" si="296"/>
        <v>#N/A</v>
      </c>
      <c r="I869" s="218" t="str">
        <f t="shared" si="296"/>
        <v>Jun</v>
      </c>
      <c r="J869" s="217" t="str">
        <f t="shared" si="296"/>
        <v>FY25</v>
      </c>
      <c r="K869" s="217" t="str">
        <f t="shared" si="296"/>
        <v>FCCS_Other Data</v>
      </c>
      <c r="L869" s="217" t="str">
        <f t="shared" si="296"/>
        <v>FCCS_No Intercompany</v>
      </c>
      <c r="M869" s="217" t="str">
        <f t="shared" si="297"/>
        <v>No Custom1</v>
      </c>
      <c r="N869" s="217" t="str">
        <f t="shared" si="296"/>
        <v>No Custom2</v>
      </c>
      <c r="O869" s="217" t="s">
        <v>618</v>
      </c>
      <c r="P869" s="217" t="s">
        <v>880</v>
      </c>
      <c r="Q869" s="217" t="str">
        <f t="shared" si="298"/>
        <v>FCCS_ClosingBalance_Input</v>
      </c>
      <c r="R869" s="217" t="str">
        <f t="shared" si="299"/>
        <v>Actual</v>
      </c>
      <c r="S869" s="217" t="str">
        <f t="shared" si="299"/>
        <v>FCCS_YTD_Input</v>
      </c>
      <c r="T869" s="217" t="s">
        <v>850</v>
      </c>
    </row>
    <row r="870" spans="2:20" s="371" customFormat="1" x14ac:dyDescent="0.3">
      <c r="B870" s="214" t="s">
        <v>667</v>
      </c>
      <c r="C870" s="214" t="s">
        <v>887</v>
      </c>
      <c r="D870" s="216" t="str">
        <f>[2]!HsSetValue(E870,"FCC","Scenario#"&amp;R870&amp;";Years#"&amp;J870&amp;";Period#"&amp;I870&amp;";View#"&amp;S870&amp;";Entity#"&amp;H870&amp;";Data Source#"&amp;K870&amp;";Account#"&amp;F870&amp;";Intercompany#"&amp;L870&amp;";Movement#"&amp;Q870&amp;";Consolidation#"&amp;T870&amp;";Custom1#"&amp;M870&amp;";Custom2#"&amp;N870&amp;";Custom3#"&amp;O870&amp;";Custom4#"&amp;P870&amp;"")</f>
        <v>#Invalid Syntax</v>
      </c>
      <c r="E870" s="216">
        <f>SUMIFS('Investment Analysis'!$H$22:$H$69,'Investment Analysis'!$E$22:$E$69,"Short-term Investment Funds",'Investment Analysis'!$AB$22:$AB$69,"1")</f>
        <v>0</v>
      </c>
      <c r="F870" s="217" t="s">
        <v>674</v>
      </c>
      <c r="G870" s="217" t="str">
        <f t="shared" si="295"/>
        <v xml:space="preserve">Inv. Analysis - Credit Quality Risk - Short-term Investment Funds     </v>
      </c>
      <c r="H870" s="218" t="e">
        <f t="shared" si="296"/>
        <v>#N/A</v>
      </c>
      <c r="I870" s="218" t="str">
        <f t="shared" si="296"/>
        <v>Jun</v>
      </c>
      <c r="J870" s="217" t="str">
        <f t="shared" si="296"/>
        <v>FY25</v>
      </c>
      <c r="K870" s="217" t="str">
        <f t="shared" si="296"/>
        <v>FCCS_Other Data</v>
      </c>
      <c r="L870" s="217" t="str">
        <f t="shared" si="296"/>
        <v>FCCS_No Intercompany</v>
      </c>
      <c r="M870" s="217" t="str">
        <f t="shared" si="297"/>
        <v>No Custom1</v>
      </c>
      <c r="N870" s="217" t="str">
        <f t="shared" si="296"/>
        <v>No Custom2</v>
      </c>
      <c r="O870" s="217" t="s">
        <v>64</v>
      </c>
      <c r="P870" s="217" t="s">
        <v>880</v>
      </c>
      <c r="Q870" s="217" t="str">
        <f t="shared" si="298"/>
        <v>FCCS_ClosingBalance_Input</v>
      </c>
      <c r="R870" s="217" t="str">
        <f t="shared" si="299"/>
        <v>Actual</v>
      </c>
      <c r="S870" s="217" t="str">
        <f t="shared" si="299"/>
        <v>FCCS_YTD_Input</v>
      </c>
      <c r="T870" s="217" t="s">
        <v>850</v>
      </c>
    </row>
    <row r="871" spans="2:20" x14ac:dyDescent="0.3">
      <c r="B871" s="214" t="s">
        <v>667</v>
      </c>
      <c r="C871" s="214" t="s">
        <v>887</v>
      </c>
      <c r="D871" s="216" t="str">
        <f>[2]!HsSetValue(E871,"FCC","Scenario#"&amp;R871&amp;";Years#"&amp;J871&amp;";Period#"&amp;I871&amp;";View#"&amp;S871&amp;";Entity#"&amp;H871&amp;";Data Source#"&amp;K871&amp;";Account#"&amp;F871&amp;";Intercompany#"&amp;L871&amp;";Movement#"&amp;Q871&amp;";Consolidation#"&amp;T871&amp;";Custom1#"&amp;M871&amp;";Custom2#"&amp;N871&amp;";Custom3#"&amp;O871&amp;";Custom4#"&amp;P871&amp;"")</f>
        <v>#Invalid Syntax</v>
      </c>
      <c r="E871" s="216">
        <f>SUMIFS('Investment Analysis'!$H$22:$H$69,'Investment Analysis'!$E$22:$E$69,"Short-term Investment Funds",'Investment Analysis'!$AI$22:$AI$69,"16")</f>
        <v>0</v>
      </c>
      <c r="F871" s="217" t="s">
        <v>674</v>
      </c>
      <c r="G871" s="217" t="str">
        <f t="shared" si="295"/>
        <v xml:space="preserve">Inv. Analysis - Credit Quality Risk - Short-term Investment Funds     </v>
      </c>
      <c r="H871" s="218" t="e">
        <f t="shared" si="296"/>
        <v>#N/A</v>
      </c>
      <c r="I871" s="218" t="str">
        <f t="shared" si="296"/>
        <v>Jun</v>
      </c>
      <c r="J871" s="217" t="str">
        <f t="shared" si="296"/>
        <v>FY25</v>
      </c>
      <c r="K871" s="217" t="str">
        <f t="shared" si="296"/>
        <v>FCCS_Other Data</v>
      </c>
      <c r="L871" s="217" t="str">
        <f t="shared" si="296"/>
        <v>FCCS_No Intercompany</v>
      </c>
      <c r="M871" s="217" t="str">
        <f t="shared" si="297"/>
        <v>No Custom1</v>
      </c>
      <c r="N871" s="217" t="str">
        <f t="shared" si="296"/>
        <v>No Custom2</v>
      </c>
      <c r="O871" s="217" t="s">
        <v>726</v>
      </c>
      <c r="P871" s="217" t="s">
        <v>880</v>
      </c>
      <c r="Q871" s="217" t="str">
        <f t="shared" si="298"/>
        <v>FCCS_ClosingBalance_Input</v>
      </c>
      <c r="R871" s="217" t="str">
        <f t="shared" si="299"/>
        <v>Actual</v>
      </c>
      <c r="S871" s="217" t="str">
        <f t="shared" si="299"/>
        <v>FCCS_YTD_Input</v>
      </c>
      <c r="T871" s="217" t="s">
        <v>850</v>
      </c>
    </row>
    <row r="872" spans="2:20" x14ac:dyDescent="0.3">
      <c r="B872" s="214" t="s">
        <v>667</v>
      </c>
      <c r="C872" s="214" t="s">
        <v>887</v>
      </c>
      <c r="D872" s="216" t="str">
        <f>[2]!HsSetValue(E872,"FCC","Scenario#"&amp;R872&amp;";Years#"&amp;J872&amp;";Period#"&amp;I872&amp;";View#"&amp;S872&amp;";Entity#"&amp;H872&amp;";Data Source#"&amp;K872&amp;";Account#"&amp;F872&amp;";Intercompany#"&amp;L872&amp;";Movement#"&amp;Q872&amp;";Consolidation#"&amp;T872&amp;";Custom1#"&amp;M872&amp;";Custom2#"&amp;N872&amp;";Custom3#"&amp;O872&amp;";Custom4#"&amp;P872&amp;"")</f>
        <v>#Invalid Syntax</v>
      </c>
      <c r="E872" s="216">
        <f>SUMIFS('Investment Analysis'!$H$22:$H$69,'Investment Analysis'!$E$22:$E$69,"Short-term Investment Funds",'Investment Analysis'!$AI$22:$AI$69,"15")</f>
        <v>0</v>
      </c>
      <c r="F872" s="217" t="s">
        <v>674</v>
      </c>
      <c r="G872" s="217" t="str">
        <f t="shared" si="295"/>
        <v xml:space="preserve">Inv. Analysis - Credit Quality Risk - Short-term Investment Funds     </v>
      </c>
      <c r="H872" s="218" t="e">
        <f t="shared" si="296"/>
        <v>#N/A</v>
      </c>
      <c r="I872" s="218" t="str">
        <f t="shared" si="296"/>
        <v>Jun</v>
      </c>
      <c r="J872" s="217" t="str">
        <f t="shared" si="296"/>
        <v>FY25</v>
      </c>
      <c r="K872" s="217" t="str">
        <f t="shared" si="296"/>
        <v>FCCS_Other Data</v>
      </c>
      <c r="L872" s="217" t="str">
        <f t="shared" si="296"/>
        <v>FCCS_No Intercompany</v>
      </c>
      <c r="M872" s="217" t="str">
        <f t="shared" si="297"/>
        <v>No Custom1</v>
      </c>
      <c r="N872" s="217" t="str">
        <f t="shared" si="296"/>
        <v>No Custom2</v>
      </c>
      <c r="O872" s="217" t="s">
        <v>727</v>
      </c>
      <c r="P872" s="217" t="s">
        <v>880</v>
      </c>
      <c r="Q872" s="217" t="str">
        <f t="shared" si="298"/>
        <v>FCCS_ClosingBalance_Input</v>
      </c>
      <c r="R872" s="217" t="str">
        <f t="shared" si="299"/>
        <v>Actual</v>
      </c>
      <c r="S872" s="217" t="str">
        <f t="shared" si="299"/>
        <v>FCCS_YTD_Input</v>
      </c>
      <c r="T872" s="217" t="s">
        <v>850</v>
      </c>
    </row>
    <row r="873" spans="2:20" x14ac:dyDescent="0.3">
      <c r="B873" s="214" t="s">
        <v>667</v>
      </c>
      <c r="C873" s="214" t="s">
        <v>887</v>
      </c>
      <c r="D873" s="216" t="str">
        <f>[2]!HsSetValue(E873,"FCC","Scenario#"&amp;R873&amp;";Years#"&amp;J873&amp;";Period#"&amp;I873&amp;";View#"&amp;S873&amp;";Entity#"&amp;H873&amp;";Data Source#"&amp;K873&amp;";Account#"&amp;F873&amp;";Intercompany#"&amp;L873&amp;";Movement#"&amp;Q873&amp;";Consolidation#"&amp;T873&amp;";Custom1#"&amp;M873&amp;";Custom2#"&amp;N873&amp;";Custom3#"&amp;O873&amp;";Custom4#"&amp;P873&amp;"")</f>
        <v>#Invalid Syntax</v>
      </c>
      <c r="E873" s="216">
        <f>SUMIFS('Investment Analysis'!$H$22:$H$69,'Investment Analysis'!$E$22:$E$69,"Short-term Investment Funds",'Investment Analysis'!$AI$22:$AI$69,"14")</f>
        <v>0</v>
      </c>
      <c r="F873" s="217" t="s">
        <v>674</v>
      </c>
      <c r="G873" s="217" t="str">
        <f t="shared" si="295"/>
        <v xml:space="preserve">Inv. Analysis - Credit Quality Risk - Short-term Investment Funds     </v>
      </c>
      <c r="H873" s="218" t="e">
        <f t="shared" si="296"/>
        <v>#N/A</v>
      </c>
      <c r="I873" s="218" t="str">
        <f t="shared" si="296"/>
        <v>Jun</v>
      </c>
      <c r="J873" s="217" t="str">
        <f t="shared" si="296"/>
        <v>FY25</v>
      </c>
      <c r="K873" s="217" t="str">
        <f t="shared" si="296"/>
        <v>FCCS_Other Data</v>
      </c>
      <c r="L873" s="217" t="str">
        <f t="shared" si="296"/>
        <v>FCCS_No Intercompany</v>
      </c>
      <c r="M873" s="217" t="str">
        <f t="shared" si="297"/>
        <v>No Custom1</v>
      </c>
      <c r="N873" s="217" t="str">
        <f t="shared" si="296"/>
        <v>No Custom2</v>
      </c>
      <c r="O873" s="217" t="s">
        <v>728</v>
      </c>
      <c r="P873" s="217" t="s">
        <v>880</v>
      </c>
      <c r="Q873" s="217" t="str">
        <f t="shared" si="298"/>
        <v>FCCS_ClosingBalance_Input</v>
      </c>
      <c r="R873" s="217" t="str">
        <f t="shared" si="299"/>
        <v>Actual</v>
      </c>
      <c r="S873" s="217" t="str">
        <f t="shared" si="299"/>
        <v>FCCS_YTD_Input</v>
      </c>
      <c r="T873" s="217" t="s">
        <v>850</v>
      </c>
    </row>
    <row r="874" spans="2:20" x14ac:dyDescent="0.3">
      <c r="B874" s="214" t="s">
        <v>667</v>
      </c>
      <c r="C874" s="214" t="s">
        <v>887</v>
      </c>
      <c r="D874" s="216" t="str">
        <f>[2]!HsSetValue(E874,"FCC","Scenario#"&amp;R874&amp;";Years#"&amp;J874&amp;";Period#"&amp;I874&amp;";View#"&amp;S874&amp;";Entity#"&amp;H874&amp;";Data Source#"&amp;K874&amp;";Account#"&amp;F874&amp;";Intercompany#"&amp;L874&amp;";Movement#"&amp;Q874&amp;";Consolidation#"&amp;T874&amp;";Custom1#"&amp;M874&amp;";Custom2#"&amp;N874&amp;";Custom3#"&amp;O874&amp;";Custom4#"&amp;P874&amp;"")</f>
        <v>#Invalid Syntax</v>
      </c>
      <c r="E874" s="216">
        <f>SUMIFS('Investment Analysis'!$H$22:$H$69,'Investment Analysis'!$E$22:$E$69,"Short-term Investment Funds",'Investment Analysis'!$AB$22:$AB$69,"0")+SUMIFS('Investment Analysis'!$H$22:$H$69,'Investment Analysis'!$E$22:$E$69,"Short-term Investment Funds",'Investment Analysis'!$AI$22:$AI$69,"0")</f>
        <v>0</v>
      </c>
      <c r="F874" s="217" t="s">
        <v>674</v>
      </c>
      <c r="G874" s="217" t="str">
        <f t="shared" si="295"/>
        <v xml:space="preserve">Inv. Analysis - Credit Quality Risk - Short-term Investment Funds     </v>
      </c>
      <c r="H874" s="218" t="e">
        <f t="shared" si="296"/>
        <v>#N/A</v>
      </c>
      <c r="I874" s="218" t="str">
        <f t="shared" si="296"/>
        <v>Jun</v>
      </c>
      <c r="J874" s="217" t="str">
        <f t="shared" si="296"/>
        <v>FY25</v>
      </c>
      <c r="K874" s="217" t="str">
        <f t="shared" si="296"/>
        <v>FCCS_Other Data</v>
      </c>
      <c r="L874" s="217" t="str">
        <f t="shared" si="296"/>
        <v>FCCS_No Intercompany</v>
      </c>
      <c r="M874" s="217" t="str">
        <f t="shared" si="297"/>
        <v>No Custom1</v>
      </c>
      <c r="N874" s="217" t="str">
        <f t="shared" si="296"/>
        <v>No Custom2</v>
      </c>
      <c r="O874" s="217" t="s">
        <v>609</v>
      </c>
      <c r="P874" s="217" t="s">
        <v>880</v>
      </c>
      <c r="Q874" s="217" t="str">
        <f t="shared" si="298"/>
        <v>FCCS_ClosingBalance_Input</v>
      </c>
      <c r="R874" s="217" t="str">
        <f t="shared" si="299"/>
        <v>Actual</v>
      </c>
      <c r="S874" s="217" t="str">
        <f t="shared" si="299"/>
        <v>FCCS_YTD_Input</v>
      </c>
      <c r="T874" s="217" t="s">
        <v>850</v>
      </c>
    </row>
    <row r="875" spans="2:20" x14ac:dyDescent="0.3">
      <c r="B875" s="210"/>
      <c r="C875" s="210"/>
      <c r="D875" s="212"/>
      <c r="E875" s="212"/>
    </row>
    <row r="876" spans="2:20" x14ac:dyDescent="0.3">
      <c r="B876" s="219" t="s">
        <v>1014</v>
      </c>
      <c r="C876" s="219" t="s">
        <v>887</v>
      </c>
      <c r="D876" s="221" t="str">
        <f>[2]!HsSetValue(E876,"FCC","Scenario#"&amp;R876&amp;";Years#"&amp;J876&amp;";Period#"&amp;I876&amp;";View#"&amp;S876&amp;";Entity#"&amp;H876&amp;";Data Source#"&amp;K876&amp;";Account#"&amp;F876&amp;";Intercompany#"&amp;L876&amp;";Movement#"&amp;Q876&amp;";Consolidation#"&amp;T876&amp;";Custom1#"&amp;M876&amp;";Custom2#"&amp;N876&amp;";Custom3#"&amp;O876&amp;";Custom4#"&amp;P876&amp;"")</f>
        <v>#Invalid Syntax</v>
      </c>
      <c r="E876" s="221">
        <f>SUMIFS('Investment Analysis'!$H$22:$H$69,'Investment Analysis'!$E$22:$E$69,"Short-term Investment Funds",'Investment Analysis'!$AK$22:$AK$69,"21")</f>
        <v>0</v>
      </c>
      <c r="F876" s="222" t="s">
        <v>675</v>
      </c>
      <c r="G876" s="222" t="str">
        <f>"Inv. Analysis -  FV Measurement - "&amp;C876</f>
        <v xml:space="preserve">Inv. Analysis -  FV Measurement - Short-term Investment Funds     </v>
      </c>
      <c r="H876" s="223" t="e">
        <f>+H$2</f>
        <v>#N/A</v>
      </c>
      <c r="I876" s="223" t="str">
        <f t="shared" ref="I876:I880" si="300">+I$2</f>
        <v>Jun</v>
      </c>
      <c r="J876" s="222" t="str">
        <f>+J$2</f>
        <v>FY25</v>
      </c>
      <c r="K876" s="222" t="s">
        <v>843</v>
      </c>
      <c r="L876" s="222" t="s">
        <v>844</v>
      </c>
      <c r="M876" s="222" t="s">
        <v>845</v>
      </c>
      <c r="N876" s="222" t="s">
        <v>846</v>
      </c>
      <c r="O876" s="222" t="s">
        <v>729</v>
      </c>
      <c r="P876" s="222" t="s">
        <v>880</v>
      </c>
      <c r="Q876" s="222" t="str">
        <f t="shared" ref="Q876:Q880" si="301">Q$2</f>
        <v>FCCS_ClosingBalance_Input</v>
      </c>
      <c r="R876" s="222" t="s">
        <v>169</v>
      </c>
      <c r="S876" s="222" t="s">
        <v>848</v>
      </c>
      <c r="T876" s="222" t="s">
        <v>850</v>
      </c>
    </row>
    <row r="877" spans="2:20" x14ac:dyDescent="0.3">
      <c r="B877" s="219" t="s">
        <v>1014</v>
      </c>
      <c r="C877" s="219" t="s">
        <v>887</v>
      </c>
      <c r="D877" s="221" t="str">
        <f>[2]!HsSetValue(E877,"FCC","Scenario#"&amp;R877&amp;";Years#"&amp;J877&amp;";Period#"&amp;I877&amp;";View#"&amp;S877&amp;";Entity#"&amp;H877&amp;";Data Source#"&amp;K877&amp;";Account#"&amp;F877&amp;";Intercompany#"&amp;L877&amp;";Movement#"&amp;Q877&amp;";Consolidation#"&amp;T877&amp;";Custom1#"&amp;M877&amp;";Custom2#"&amp;N877&amp;";Custom3#"&amp;O877&amp;";Custom4#"&amp;P877&amp;"")</f>
        <v>#Invalid Syntax</v>
      </c>
      <c r="E877" s="221">
        <f>SUMIFS('Investment Analysis'!$H$22:$H$69,'Investment Analysis'!$E$22:$E$69,"Short-term Investment Funds",'Investment Analysis'!$AK$22:$AK$69,"22")</f>
        <v>0</v>
      </c>
      <c r="F877" s="222" t="s">
        <v>675</v>
      </c>
      <c r="G877" s="222" t="str">
        <f>"Inv. Analysis -  FV Measurement - "&amp;C877</f>
        <v xml:space="preserve">Inv. Analysis -  FV Measurement - Short-term Investment Funds     </v>
      </c>
      <c r="H877" s="223" t="e">
        <f>+H$2</f>
        <v>#N/A</v>
      </c>
      <c r="I877" s="223" t="str">
        <f t="shared" si="300"/>
        <v>Jun</v>
      </c>
      <c r="J877" s="222" t="str">
        <f>+J$2</f>
        <v>FY25</v>
      </c>
      <c r="K877" s="222" t="str">
        <f t="shared" ref="K877:N880" si="302">+K$2</f>
        <v>FCCS_Other Data</v>
      </c>
      <c r="L877" s="222" t="str">
        <f t="shared" si="302"/>
        <v>FCCS_No Intercompany</v>
      </c>
      <c r="M877" s="222" t="str">
        <f>+M$1</f>
        <v>No Custom1</v>
      </c>
      <c r="N877" s="222" t="str">
        <f t="shared" si="302"/>
        <v>No Custom2</v>
      </c>
      <c r="O877" s="222" t="s">
        <v>730</v>
      </c>
      <c r="P877" s="222" t="s">
        <v>880</v>
      </c>
      <c r="Q877" s="222" t="str">
        <f t="shared" si="301"/>
        <v>FCCS_ClosingBalance_Input</v>
      </c>
      <c r="R877" s="222" t="str">
        <f t="shared" ref="R877:S880" si="303">+R$2</f>
        <v>Actual</v>
      </c>
      <c r="S877" s="222" t="str">
        <f t="shared" si="303"/>
        <v>FCCS_YTD_Input</v>
      </c>
      <c r="T877" s="222" t="s">
        <v>850</v>
      </c>
    </row>
    <row r="878" spans="2:20" x14ac:dyDescent="0.3">
      <c r="B878" s="219" t="s">
        <v>1014</v>
      </c>
      <c r="C878" s="219" t="s">
        <v>887</v>
      </c>
      <c r="D878" s="221" t="str">
        <f>[2]!HsSetValue(E878,"FCC","Scenario#"&amp;R878&amp;";Years#"&amp;J878&amp;";Period#"&amp;I878&amp;";View#"&amp;S878&amp;";Entity#"&amp;H878&amp;";Data Source#"&amp;K878&amp;";Account#"&amp;F878&amp;";Intercompany#"&amp;L878&amp;";Movement#"&amp;Q878&amp;";Consolidation#"&amp;T878&amp;";Custom1#"&amp;M878&amp;";Custom2#"&amp;N878&amp;";Custom3#"&amp;O878&amp;";Custom4#"&amp;P878&amp;"")</f>
        <v>#Invalid Syntax</v>
      </c>
      <c r="E878" s="221">
        <f>SUMIFS('Investment Analysis'!$H$22:$H$69,'Investment Analysis'!$E$22:$E$69,"Short-term Investment Funds",'Investment Analysis'!$AK$22:$AK$69,"23")</f>
        <v>0</v>
      </c>
      <c r="F878" s="222" t="s">
        <v>675</v>
      </c>
      <c r="G878" s="222" t="str">
        <f>"Inv. Analysis -  FV Measurement - "&amp;C878</f>
        <v xml:space="preserve">Inv. Analysis -  FV Measurement - Short-term Investment Funds     </v>
      </c>
      <c r="H878" s="223" t="e">
        <f>+H$2</f>
        <v>#N/A</v>
      </c>
      <c r="I878" s="223" t="str">
        <f t="shared" si="300"/>
        <v>Jun</v>
      </c>
      <c r="J878" s="222" t="str">
        <f>+J$2</f>
        <v>FY25</v>
      </c>
      <c r="K878" s="222" t="str">
        <f t="shared" si="302"/>
        <v>FCCS_Other Data</v>
      </c>
      <c r="L878" s="222" t="str">
        <f t="shared" si="302"/>
        <v>FCCS_No Intercompany</v>
      </c>
      <c r="M878" s="222" t="str">
        <f>+M$1</f>
        <v>No Custom1</v>
      </c>
      <c r="N878" s="222" t="str">
        <f t="shared" si="302"/>
        <v>No Custom2</v>
      </c>
      <c r="O878" s="222" t="s">
        <v>731</v>
      </c>
      <c r="P878" s="222" t="s">
        <v>880</v>
      </c>
      <c r="Q878" s="222" t="str">
        <f t="shared" si="301"/>
        <v>FCCS_ClosingBalance_Input</v>
      </c>
      <c r="R878" s="222" t="str">
        <f t="shared" si="303"/>
        <v>Actual</v>
      </c>
      <c r="S878" s="222" t="str">
        <f t="shared" si="303"/>
        <v>FCCS_YTD_Input</v>
      </c>
      <c r="T878" s="222" t="s">
        <v>850</v>
      </c>
    </row>
    <row r="879" spans="2:20" x14ac:dyDescent="0.3">
      <c r="B879" s="219" t="s">
        <v>1014</v>
      </c>
      <c r="C879" s="219" t="s">
        <v>887</v>
      </c>
      <c r="D879" s="221" t="str">
        <f>[2]!HsSetValue(E879,"FCC","Scenario#"&amp;R879&amp;";Years#"&amp;J879&amp;";Period#"&amp;I879&amp;";View#"&amp;S879&amp;";Entity#"&amp;H879&amp;";Data Source#"&amp;K879&amp;";Account#"&amp;F879&amp;";Intercompany#"&amp;L879&amp;";Movement#"&amp;Q879&amp;";Consolidation#"&amp;T879&amp;";Custom1#"&amp;M879&amp;";Custom2#"&amp;N879&amp;";Custom3#"&amp;O879&amp;";Custom4#"&amp;P879&amp;"")</f>
        <v>#Invalid Syntax</v>
      </c>
      <c r="E879" s="221">
        <f>SUMIFS('Investment Analysis'!$H$22:$H$69,'Investment Analysis'!$E$22:$E$69,"Short-term Investment Funds",'Investment Analysis'!$AK$22:$AK$69,"24")</f>
        <v>0</v>
      </c>
      <c r="F879" s="222" t="s">
        <v>675</v>
      </c>
      <c r="G879" s="222" t="str">
        <f>"Inv. Analysis -  FV Measurement - "&amp;C879</f>
        <v xml:space="preserve">Inv. Analysis -  FV Measurement - Short-term Investment Funds     </v>
      </c>
      <c r="H879" s="223" t="e">
        <f>+H$2</f>
        <v>#N/A</v>
      </c>
      <c r="I879" s="223" t="str">
        <f t="shared" si="300"/>
        <v>Jun</v>
      </c>
      <c r="J879" s="222" t="str">
        <f>+J$2</f>
        <v>FY25</v>
      </c>
      <c r="K879" s="222" t="str">
        <f t="shared" si="302"/>
        <v>FCCS_Other Data</v>
      </c>
      <c r="L879" s="222" t="str">
        <f t="shared" si="302"/>
        <v>FCCS_No Intercompany</v>
      </c>
      <c r="M879" s="222" t="str">
        <f>+M$1</f>
        <v>No Custom1</v>
      </c>
      <c r="N879" s="222" t="str">
        <f t="shared" si="302"/>
        <v>No Custom2</v>
      </c>
      <c r="O879" s="222" t="s">
        <v>732</v>
      </c>
      <c r="P879" s="222" t="s">
        <v>880</v>
      </c>
      <c r="Q879" s="222" t="str">
        <f t="shared" si="301"/>
        <v>FCCS_ClosingBalance_Input</v>
      </c>
      <c r="R879" s="222" t="str">
        <f t="shared" si="303"/>
        <v>Actual</v>
      </c>
      <c r="S879" s="222" t="str">
        <f t="shared" si="303"/>
        <v>FCCS_YTD_Input</v>
      </c>
      <c r="T879" s="222" t="s">
        <v>850</v>
      </c>
    </row>
    <row r="880" spans="2:20" x14ac:dyDescent="0.3">
      <c r="B880" s="219" t="s">
        <v>1014</v>
      </c>
      <c r="C880" s="219" t="s">
        <v>887</v>
      </c>
      <c r="D880" s="221" t="str">
        <f>[2]!HsSetValue(E880,"FCC","Scenario#"&amp;R880&amp;";Years#"&amp;J880&amp;";Period#"&amp;I880&amp;";View#"&amp;S880&amp;";Entity#"&amp;H880&amp;";Data Source#"&amp;K880&amp;";Account#"&amp;F880&amp;";Intercompany#"&amp;L880&amp;";Movement#"&amp;Q880&amp;";Consolidation#"&amp;T880&amp;";Custom1#"&amp;M880&amp;";Custom2#"&amp;N880&amp;";Custom3#"&amp;O880&amp;";Custom4#"&amp;P880&amp;"")</f>
        <v>#Invalid Syntax</v>
      </c>
      <c r="E880" s="221">
        <f>SUMIFS('Investment Analysis'!$H$22:$H$69,'Investment Analysis'!$E$22:$E$69,"Short-term Investment Funds",'Investment Analysis'!$AK$22:$AK$69,"25")</f>
        <v>0</v>
      </c>
      <c r="F880" s="222" t="s">
        <v>675</v>
      </c>
      <c r="G880" s="222" t="str">
        <f>"Inv. Analysis -  FV Measurement - "&amp;C880</f>
        <v xml:space="preserve">Inv. Analysis -  FV Measurement - Short-term Investment Funds     </v>
      </c>
      <c r="H880" s="223" t="e">
        <f>+H$2</f>
        <v>#N/A</v>
      </c>
      <c r="I880" s="223" t="str">
        <f t="shared" si="300"/>
        <v>Jun</v>
      </c>
      <c r="J880" s="222" t="str">
        <f>+J$2</f>
        <v>FY25</v>
      </c>
      <c r="K880" s="222" t="str">
        <f t="shared" si="302"/>
        <v>FCCS_Other Data</v>
      </c>
      <c r="L880" s="222" t="str">
        <f t="shared" si="302"/>
        <v>FCCS_No Intercompany</v>
      </c>
      <c r="M880" s="222" t="str">
        <f>+M$1</f>
        <v>No Custom1</v>
      </c>
      <c r="N880" s="222" t="str">
        <f t="shared" si="302"/>
        <v>No Custom2</v>
      </c>
      <c r="O880" s="222" t="s">
        <v>733</v>
      </c>
      <c r="P880" s="222" t="s">
        <v>880</v>
      </c>
      <c r="Q880" s="222" t="str">
        <f t="shared" si="301"/>
        <v>FCCS_ClosingBalance_Input</v>
      </c>
      <c r="R880" s="222" t="str">
        <f t="shared" si="303"/>
        <v>Actual</v>
      </c>
      <c r="S880" s="222" t="str">
        <f t="shared" si="303"/>
        <v>FCCS_YTD_Input</v>
      </c>
      <c r="T880" s="222" t="s">
        <v>850</v>
      </c>
    </row>
    <row r="881" spans="2:20" outlineLevel="1" x14ac:dyDescent="0.3"/>
    <row r="882" spans="2:20" x14ac:dyDescent="0.3">
      <c r="B882" s="364" t="s">
        <v>668</v>
      </c>
      <c r="C882" s="365" t="s">
        <v>406</v>
      </c>
      <c r="D882" s="366" t="str">
        <f>[2]!HsSetValue(E882,"FCC","Scenario#"&amp;R882&amp;";Years#"&amp;J882&amp;";Period#"&amp;I882&amp;";View#"&amp;S882&amp;";Entity#"&amp;H882&amp;";Data Source#"&amp;K882&amp;";Account#"&amp;F882&amp;";Intercompany#"&amp;L882&amp;";Movement#"&amp;Q882&amp;";Consolidation#"&amp;T882&amp;";Custom1#"&amp;M882&amp;";Custom2#"&amp;N882&amp;";Custom3#"&amp;O882&amp;";Custom4#"&amp;P882&amp;"")</f>
        <v>#Invalid Syntax</v>
      </c>
      <c r="E882" s="366">
        <f>SUMIF('Investment Analysis'!$E$22:$E$69,'FCC Investments - Load Tab'!C882,'Investment Analysis'!$K$22:$K$69)</f>
        <v>0</v>
      </c>
      <c r="F882" s="367" t="s">
        <v>673</v>
      </c>
      <c r="G882" s="367" t="s">
        <v>697</v>
      </c>
      <c r="H882" s="368" t="e">
        <f>+H$2</f>
        <v>#N/A</v>
      </c>
      <c r="I882" s="368" t="str">
        <f t="shared" ref="I882:I886" si="304">+I$2</f>
        <v>Jun</v>
      </c>
      <c r="J882" s="367" t="str">
        <f t="shared" si="290"/>
        <v>FY25</v>
      </c>
      <c r="K882" s="367" t="s">
        <v>843</v>
      </c>
      <c r="L882" s="367" t="s">
        <v>844</v>
      </c>
      <c r="M882" s="367" t="s">
        <v>845</v>
      </c>
      <c r="N882" s="367" t="s">
        <v>846</v>
      </c>
      <c r="O882" s="367" t="s">
        <v>721</v>
      </c>
      <c r="P882" s="367" t="s">
        <v>580</v>
      </c>
      <c r="Q882" s="367" t="str">
        <f t="shared" ref="Q882:Q886" si="305">Q$2</f>
        <v>FCCS_ClosingBalance_Input</v>
      </c>
      <c r="R882" s="367" t="s">
        <v>169</v>
      </c>
      <c r="S882" s="367" t="s">
        <v>848</v>
      </c>
      <c r="T882" s="367" t="s">
        <v>850</v>
      </c>
    </row>
    <row r="883" spans="2:20" x14ac:dyDescent="0.3">
      <c r="B883" s="364" t="s">
        <v>668</v>
      </c>
      <c r="C883" s="365" t="s">
        <v>406</v>
      </c>
      <c r="D883" s="366" t="str">
        <f>[2]!HsSetValue(E883,"FCC","Scenario#"&amp;R883&amp;";Years#"&amp;J883&amp;";Period#"&amp;I883&amp;";View#"&amp;S883&amp;";Entity#"&amp;H883&amp;";Data Source#"&amp;K883&amp;";Account#"&amp;F883&amp;";Intercompany#"&amp;L883&amp;";Movement#"&amp;Q883&amp;";Consolidation#"&amp;T883&amp;";Custom1#"&amp;M883&amp;";Custom2#"&amp;N883&amp;";Custom3#"&amp;O883&amp;";Custom4#"&amp;P883&amp;"")</f>
        <v>#Invalid Syntax</v>
      </c>
      <c r="E883" s="366">
        <f>SUMIF('Investment Analysis'!$E$22:$E$69,'FCC Investments - Load Tab'!C882,'Investment Analysis'!$L$22:$L$69)</f>
        <v>0</v>
      </c>
      <c r="F883" s="367" t="s">
        <v>673</v>
      </c>
      <c r="G883" s="367" t="s">
        <v>697</v>
      </c>
      <c r="H883" s="368" t="e">
        <f>+H$2</f>
        <v>#N/A</v>
      </c>
      <c r="I883" s="368" t="str">
        <f t="shared" si="304"/>
        <v>Jun</v>
      </c>
      <c r="J883" s="367" t="str">
        <f t="shared" si="290"/>
        <v>FY25</v>
      </c>
      <c r="K883" s="367" t="s">
        <v>843</v>
      </c>
      <c r="L883" s="367" t="s">
        <v>844</v>
      </c>
      <c r="M883" s="367" t="s">
        <v>845</v>
      </c>
      <c r="N883" s="367" t="s">
        <v>846</v>
      </c>
      <c r="O883" s="367" t="s">
        <v>722</v>
      </c>
      <c r="P883" s="367" t="s">
        <v>580</v>
      </c>
      <c r="Q883" s="367" t="str">
        <f t="shared" si="305"/>
        <v>FCCS_ClosingBalance_Input</v>
      </c>
      <c r="R883" s="367" t="s">
        <v>169</v>
      </c>
      <c r="S883" s="367" t="s">
        <v>848</v>
      </c>
      <c r="T883" s="367" t="s">
        <v>850</v>
      </c>
    </row>
    <row r="884" spans="2:20" x14ac:dyDescent="0.3">
      <c r="B884" s="364" t="s">
        <v>668</v>
      </c>
      <c r="C884" s="365" t="s">
        <v>406</v>
      </c>
      <c r="D884" s="366" t="str">
        <f>[2]!HsSetValue(E884,"FCC","Scenario#"&amp;R884&amp;";Years#"&amp;J884&amp;";Period#"&amp;I884&amp;";View#"&amp;S884&amp;";Entity#"&amp;H884&amp;";Data Source#"&amp;K884&amp;";Account#"&amp;F884&amp;";Intercompany#"&amp;L884&amp;";Movement#"&amp;Q884&amp;";Consolidation#"&amp;T884&amp;";Custom1#"&amp;M884&amp;";Custom2#"&amp;N884&amp;";Custom3#"&amp;O884&amp;";Custom4#"&amp;P884&amp;"")</f>
        <v>#Invalid Syntax</v>
      </c>
      <c r="E884" s="366">
        <f>SUMIF('Investment Analysis'!$E$22:$E$69,'FCC Investments - Load Tab'!C882,'Investment Analysis'!$M$22:$M$69)</f>
        <v>0</v>
      </c>
      <c r="F884" s="367" t="s">
        <v>673</v>
      </c>
      <c r="G884" s="367" t="s">
        <v>697</v>
      </c>
      <c r="H884" s="368" t="e">
        <f>+H$2</f>
        <v>#N/A</v>
      </c>
      <c r="I884" s="368" t="str">
        <f t="shared" si="304"/>
        <v>Jun</v>
      </c>
      <c r="J884" s="367" t="str">
        <f t="shared" si="290"/>
        <v>FY25</v>
      </c>
      <c r="K884" s="367" t="s">
        <v>843</v>
      </c>
      <c r="L884" s="367" t="s">
        <v>844</v>
      </c>
      <c r="M884" s="367" t="s">
        <v>845</v>
      </c>
      <c r="N884" s="367" t="s">
        <v>846</v>
      </c>
      <c r="O884" s="367" t="s">
        <v>723</v>
      </c>
      <c r="P884" s="367" t="s">
        <v>580</v>
      </c>
      <c r="Q884" s="367" t="str">
        <f t="shared" si="305"/>
        <v>FCCS_ClosingBalance_Input</v>
      </c>
      <c r="R884" s="367" t="s">
        <v>169</v>
      </c>
      <c r="S884" s="367" t="s">
        <v>848</v>
      </c>
      <c r="T884" s="367" t="s">
        <v>850</v>
      </c>
    </row>
    <row r="885" spans="2:20" x14ac:dyDescent="0.3">
      <c r="B885" s="364" t="s">
        <v>668</v>
      </c>
      <c r="C885" s="365" t="s">
        <v>406</v>
      </c>
      <c r="D885" s="366" t="str">
        <f>[2]!HsSetValue(E885,"FCC","Scenario#"&amp;R885&amp;";Years#"&amp;J885&amp;";Period#"&amp;I885&amp;";View#"&amp;S885&amp;";Entity#"&amp;H885&amp;";Data Source#"&amp;K885&amp;";Account#"&amp;F885&amp;";Intercompany#"&amp;L885&amp;";Movement#"&amp;Q885&amp;";Consolidation#"&amp;T885&amp;";Custom1#"&amp;M885&amp;";Custom2#"&amp;N885&amp;";Custom3#"&amp;O885&amp;";Custom4#"&amp;P885&amp;"")</f>
        <v>#Invalid Syntax</v>
      </c>
      <c r="E885" s="366">
        <f>SUMIF('Investment Analysis'!$E$22:$E$69,'FCC Investments - Load Tab'!C885,'Investment Analysis'!$N$22:$N$69)</f>
        <v>0</v>
      </c>
      <c r="F885" s="367" t="s">
        <v>673</v>
      </c>
      <c r="G885" s="367" t="s">
        <v>697</v>
      </c>
      <c r="H885" s="368" t="e">
        <f>+H$2</f>
        <v>#N/A</v>
      </c>
      <c r="I885" s="368" t="str">
        <f t="shared" si="304"/>
        <v>Jun</v>
      </c>
      <c r="J885" s="367" t="str">
        <f t="shared" si="290"/>
        <v>FY25</v>
      </c>
      <c r="K885" s="367" t="s">
        <v>843</v>
      </c>
      <c r="L885" s="367" t="s">
        <v>844</v>
      </c>
      <c r="M885" s="367" t="s">
        <v>845</v>
      </c>
      <c r="N885" s="367" t="s">
        <v>846</v>
      </c>
      <c r="O885" s="367" t="s">
        <v>724</v>
      </c>
      <c r="P885" s="367" t="s">
        <v>580</v>
      </c>
      <c r="Q885" s="367" t="str">
        <f t="shared" si="305"/>
        <v>FCCS_ClosingBalance_Input</v>
      </c>
      <c r="R885" s="367" t="s">
        <v>169</v>
      </c>
      <c r="S885" s="367" t="s">
        <v>848</v>
      </c>
      <c r="T885" s="367" t="s">
        <v>850</v>
      </c>
    </row>
    <row r="886" spans="2:20" x14ac:dyDescent="0.3">
      <c r="B886" s="364" t="s">
        <v>668</v>
      </c>
      <c r="C886" s="365" t="s">
        <v>406</v>
      </c>
      <c r="D886" s="366" t="str">
        <f>[2]!HsSetValue(E886,"FCC","Scenario#"&amp;R886&amp;";Years#"&amp;J886&amp;";Period#"&amp;I886&amp;";View#"&amp;S886&amp;";Entity#"&amp;H886&amp;";Data Source#"&amp;K886&amp;";Account#"&amp;F886&amp;";Intercompany#"&amp;L886&amp;";Movement#"&amp;Q886&amp;";Consolidation#"&amp;T886&amp;";Custom1#"&amp;M886&amp;";Custom2#"&amp;N886&amp;";Custom3#"&amp;O886&amp;";Custom4#"&amp;P886&amp;"")</f>
        <v>#Invalid Syntax</v>
      </c>
      <c r="E886" s="366">
        <f>SUMIF('Investment Analysis'!$E$2:$E$69,'FCC Investments - Load Tab'!C886,'Investment Analysis'!$O$2:$O$69)</f>
        <v>0</v>
      </c>
      <c r="F886" s="367" t="s">
        <v>673</v>
      </c>
      <c r="G886" s="367" t="s">
        <v>697</v>
      </c>
      <c r="H886" s="368" t="e">
        <f>+H$2</f>
        <v>#N/A</v>
      </c>
      <c r="I886" s="368" t="str">
        <f t="shared" si="304"/>
        <v>Jun</v>
      </c>
      <c r="J886" s="367" t="str">
        <f t="shared" si="290"/>
        <v>FY25</v>
      </c>
      <c r="K886" s="367" t="s">
        <v>843</v>
      </c>
      <c r="L886" s="367" t="s">
        <v>844</v>
      </c>
      <c r="M886" s="367" t="s">
        <v>845</v>
      </c>
      <c r="N886" s="367" t="s">
        <v>846</v>
      </c>
      <c r="O886" s="367" t="s">
        <v>725</v>
      </c>
      <c r="P886" s="367" t="s">
        <v>580</v>
      </c>
      <c r="Q886" s="367" t="str">
        <f t="shared" si="305"/>
        <v>FCCS_ClosingBalance_Input</v>
      </c>
      <c r="R886" s="367" t="s">
        <v>169</v>
      </c>
      <c r="S886" s="367" t="s">
        <v>848</v>
      </c>
      <c r="T886" s="367" t="s">
        <v>850</v>
      </c>
    </row>
    <row r="887" spans="2:20" x14ac:dyDescent="0.3">
      <c r="B887" s="210"/>
      <c r="C887" s="211"/>
      <c r="D887" s="212"/>
      <c r="E887" s="212"/>
    </row>
    <row r="888" spans="2:20" x14ac:dyDescent="0.3">
      <c r="B888" s="214" t="s">
        <v>667</v>
      </c>
      <c r="C888" s="215" t="s">
        <v>406</v>
      </c>
      <c r="D888" s="216" t="str">
        <f>[2]!HsSetValue(E888,"FCC","Scenario#"&amp;R888&amp;";Years#"&amp;J888&amp;";Period#"&amp;I888&amp;";View#"&amp;S888&amp;";Entity#"&amp;H888&amp;";Data Source#"&amp;K888&amp;";Account#"&amp;F888&amp;";Intercompany#"&amp;L888&amp;";Movement#"&amp;Q888&amp;";Consolidation#"&amp;T888&amp;";Custom1#"&amp;M888&amp;";Custom2#"&amp;N888&amp;";Custom3#"&amp;O888&amp;";Custom4#"&amp;P888&amp;"")</f>
        <v>#Invalid Syntax</v>
      </c>
      <c r="E888" s="216">
        <f>SUMIFS('Investment Analysis'!$H$22:$H$69,'Investment Analysis'!$E$22:$E$69,"Sovereign Credit",'Investment Analysis'!$AB$22:$AB$69,"10")</f>
        <v>0</v>
      </c>
      <c r="F888" s="217" t="s">
        <v>674</v>
      </c>
      <c r="G888" s="217" t="s">
        <v>1068</v>
      </c>
      <c r="H888" s="218" t="e">
        <f t="shared" ref="H888:N903" si="306">+H$2</f>
        <v>#N/A</v>
      </c>
      <c r="I888" s="218" t="str">
        <f t="shared" si="306"/>
        <v>Jun</v>
      </c>
      <c r="J888" s="217" t="str">
        <f t="shared" si="290"/>
        <v>FY25</v>
      </c>
      <c r="K888" s="217" t="s">
        <v>843</v>
      </c>
      <c r="L888" s="217" t="s">
        <v>844</v>
      </c>
      <c r="M888" s="217" t="s">
        <v>845</v>
      </c>
      <c r="N888" s="217" t="s">
        <v>846</v>
      </c>
      <c r="O888" s="217" t="s">
        <v>433</v>
      </c>
      <c r="P888" s="217" t="s">
        <v>580</v>
      </c>
      <c r="Q888" s="217" t="str">
        <f t="shared" ref="Q888:Q901" si="307">Q$2</f>
        <v>FCCS_ClosingBalance_Input</v>
      </c>
      <c r="R888" s="217" t="s">
        <v>169</v>
      </c>
      <c r="S888" s="217" t="s">
        <v>848</v>
      </c>
      <c r="T888" s="217" t="s">
        <v>850</v>
      </c>
    </row>
    <row r="889" spans="2:20" x14ac:dyDescent="0.3">
      <c r="B889" s="214" t="s">
        <v>667</v>
      </c>
      <c r="C889" s="215" t="s">
        <v>406</v>
      </c>
      <c r="D889" s="216" t="str">
        <f>[2]!HsSetValue(E889,"FCC","Scenario#"&amp;R889&amp;";Years#"&amp;J889&amp;";Period#"&amp;I889&amp;";View#"&amp;S889&amp;";Entity#"&amp;H889&amp;";Data Source#"&amp;K889&amp;";Account#"&amp;F889&amp;";Intercompany#"&amp;L889&amp;";Movement#"&amp;Q889&amp;";Consolidation#"&amp;T889&amp;";Custom1#"&amp;M889&amp;";Custom2#"&amp;N889&amp;";Custom3#"&amp;O889&amp;";Custom4#"&amp;P889&amp;"")</f>
        <v>#Invalid Syntax</v>
      </c>
      <c r="E889" s="216">
        <f>SUMIFS('Investment Analysis'!$H$22:$H$69,'Investment Analysis'!$E$22:$E$69,"Sovereign Credit",'Investment Analysis'!$AB$22:$AB$69,"9")</f>
        <v>0</v>
      </c>
      <c r="F889" s="217" t="s">
        <v>674</v>
      </c>
      <c r="G889" s="217" t="s">
        <v>1068</v>
      </c>
      <c r="H889" s="218" t="e">
        <f t="shared" si="306"/>
        <v>#N/A</v>
      </c>
      <c r="I889" s="218" t="str">
        <f t="shared" si="306"/>
        <v>Jun</v>
      </c>
      <c r="J889" s="217" t="str">
        <f t="shared" si="290"/>
        <v>FY25</v>
      </c>
      <c r="K889" s="217" t="s">
        <v>843</v>
      </c>
      <c r="L889" s="217" t="s">
        <v>844</v>
      </c>
      <c r="M889" s="217" t="s">
        <v>845</v>
      </c>
      <c r="N889" s="217" t="s">
        <v>846</v>
      </c>
      <c r="O889" s="217" t="s">
        <v>596</v>
      </c>
      <c r="P889" s="217" t="s">
        <v>580</v>
      </c>
      <c r="Q889" s="217" t="str">
        <f t="shared" si="307"/>
        <v>FCCS_ClosingBalance_Input</v>
      </c>
      <c r="R889" s="217" t="s">
        <v>169</v>
      </c>
      <c r="S889" s="217" t="s">
        <v>848</v>
      </c>
      <c r="T889" s="217" t="s">
        <v>850</v>
      </c>
    </row>
    <row r="890" spans="2:20" x14ac:dyDescent="0.3">
      <c r="B890" s="214" t="s">
        <v>667</v>
      </c>
      <c r="C890" s="215" t="s">
        <v>406</v>
      </c>
      <c r="D890" s="216" t="str">
        <f>[2]!HsSetValue(E890,"FCC","Scenario#"&amp;R890&amp;";Years#"&amp;J890&amp;";Period#"&amp;I890&amp;";View#"&amp;S890&amp;";Entity#"&amp;H890&amp;";Data Source#"&amp;K890&amp;";Account#"&amp;F890&amp;";Intercompany#"&amp;L890&amp;";Movement#"&amp;Q890&amp;";Consolidation#"&amp;T890&amp;";Custom1#"&amp;M890&amp;";Custom2#"&amp;N890&amp;";Custom3#"&amp;O890&amp;";Custom4#"&amp;P890&amp;"")</f>
        <v>#Invalid Syntax</v>
      </c>
      <c r="E890" s="216">
        <f>SUMIFS('Investment Analysis'!$H$22:$H$69,'Investment Analysis'!$E$22:$E$69,"Sovereign Credit",'Investment Analysis'!$AB$22:$AB$69,"8")</f>
        <v>0</v>
      </c>
      <c r="F890" s="217" t="s">
        <v>674</v>
      </c>
      <c r="G890" s="217" t="s">
        <v>1068</v>
      </c>
      <c r="H890" s="218" t="e">
        <f t="shared" si="306"/>
        <v>#N/A</v>
      </c>
      <c r="I890" s="218" t="str">
        <f t="shared" si="306"/>
        <v>Jun</v>
      </c>
      <c r="J890" s="217" t="str">
        <f t="shared" si="290"/>
        <v>FY25</v>
      </c>
      <c r="K890" s="217" t="s">
        <v>843</v>
      </c>
      <c r="L890" s="217" t="s">
        <v>844</v>
      </c>
      <c r="M890" s="217" t="s">
        <v>845</v>
      </c>
      <c r="N890" s="217" t="s">
        <v>846</v>
      </c>
      <c r="O890" s="217" t="s">
        <v>61</v>
      </c>
      <c r="P890" s="217" t="s">
        <v>580</v>
      </c>
      <c r="Q890" s="217" t="str">
        <f t="shared" si="307"/>
        <v>FCCS_ClosingBalance_Input</v>
      </c>
      <c r="R890" s="217" t="s">
        <v>169</v>
      </c>
      <c r="S890" s="217" t="s">
        <v>848</v>
      </c>
      <c r="T890" s="217" t="s">
        <v>850</v>
      </c>
    </row>
    <row r="891" spans="2:20" x14ac:dyDescent="0.3">
      <c r="B891" s="214" t="s">
        <v>667</v>
      </c>
      <c r="C891" s="215" t="s">
        <v>406</v>
      </c>
      <c r="D891" s="216" t="str">
        <f>[2]!HsSetValue(E891,"FCC","Scenario#"&amp;R891&amp;";Years#"&amp;J891&amp;";Period#"&amp;I891&amp;";View#"&amp;S891&amp;";Entity#"&amp;H891&amp;";Data Source#"&amp;K891&amp;";Account#"&amp;F891&amp;";Intercompany#"&amp;L891&amp;";Movement#"&amp;Q891&amp;";Consolidation#"&amp;T891&amp;";Custom1#"&amp;M891&amp;";Custom2#"&amp;N891&amp;";Custom3#"&amp;O891&amp;";Custom4#"&amp;P891&amp;"")</f>
        <v>#Invalid Syntax</v>
      </c>
      <c r="E891" s="216">
        <f>SUMIFS('Investment Analysis'!$H$22:$H$69,'Investment Analysis'!$E$22:$E$69,"Sovereign Credit",'Investment Analysis'!$AB$22:$AB$69,"7")</f>
        <v>0</v>
      </c>
      <c r="F891" s="217" t="s">
        <v>674</v>
      </c>
      <c r="G891" s="217" t="s">
        <v>1068</v>
      </c>
      <c r="H891" s="218" t="e">
        <f t="shared" si="306"/>
        <v>#N/A</v>
      </c>
      <c r="I891" s="218" t="str">
        <f t="shared" si="306"/>
        <v>Jun</v>
      </c>
      <c r="J891" s="217" t="str">
        <f t="shared" si="290"/>
        <v>FY25</v>
      </c>
      <c r="K891" s="217" t="s">
        <v>843</v>
      </c>
      <c r="L891" s="217" t="s">
        <v>844</v>
      </c>
      <c r="M891" s="217" t="s">
        <v>845</v>
      </c>
      <c r="N891" s="217" t="s">
        <v>846</v>
      </c>
      <c r="O891" s="217" t="s">
        <v>62</v>
      </c>
      <c r="P891" s="217" t="s">
        <v>580</v>
      </c>
      <c r="Q891" s="217" t="str">
        <f t="shared" si="307"/>
        <v>FCCS_ClosingBalance_Input</v>
      </c>
      <c r="R891" s="217" t="s">
        <v>169</v>
      </c>
      <c r="S891" s="217" t="s">
        <v>848</v>
      </c>
      <c r="T891" s="217" t="s">
        <v>850</v>
      </c>
    </row>
    <row r="892" spans="2:20" x14ac:dyDescent="0.3">
      <c r="B892" s="214" t="s">
        <v>667</v>
      </c>
      <c r="C892" s="215" t="s">
        <v>406</v>
      </c>
      <c r="D892" s="216" t="str">
        <f>[2]!HsSetValue(E892,"FCC","Scenario#"&amp;R892&amp;";Years#"&amp;J892&amp;";Period#"&amp;I892&amp;";View#"&amp;S892&amp;";Entity#"&amp;H892&amp;";Data Source#"&amp;K892&amp;";Account#"&amp;F892&amp;";Intercompany#"&amp;L892&amp;";Movement#"&amp;Q892&amp;";Consolidation#"&amp;T892&amp;";Custom1#"&amp;M892&amp;";Custom2#"&amp;N892&amp;";Custom3#"&amp;O892&amp;";Custom4#"&amp;P892&amp;"")</f>
        <v>#Invalid Syntax</v>
      </c>
      <c r="E892" s="216">
        <f>SUMIFS('Investment Analysis'!$H$22:$H$69,'Investment Analysis'!$E$22:$E$69,"Sovereign Credit",'Investment Analysis'!$AB$22:$AB$69,"6")</f>
        <v>0</v>
      </c>
      <c r="F892" s="217" t="s">
        <v>674</v>
      </c>
      <c r="G892" s="217" t="s">
        <v>1068</v>
      </c>
      <c r="H892" s="218" t="e">
        <f t="shared" si="306"/>
        <v>#N/A</v>
      </c>
      <c r="I892" s="218" t="str">
        <f t="shared" si="306"/>
        <v>Jun</v>
      </c>
      <c r="J892" s="217" t="str">
        <f t="shared" si="306"/>
        <v>FY25</v>
      </c>
      <c r="K892" s="217" t="s">
        <v>843</v>
      </c>
      <c r="L892" s="217" t="s">
        <v>844</v>
      </c>
      <c r="M892" s="217" t="s">
        <v>845</v>
      </c>
      <c r="N892" s="217" t="s">
        <v>846</v>
      </c>
      <c r="O892" s="217" t="s">
        <v>436</v>
      </c>
      <c r="P892" s="217" t="s">
        <v>580</v>
      </c>
      <c r="Q892" s="217" t="str">
        <f t="shared" si="307"/>
        <v>FCCS_ClosingBalance_Input</v>
      </c>
      <c r="R892" s="217" t="s">
        <v>169</v>
      </c>
      <c r="S892" s="217" t="s">
        <v>848</v>
      </c>
      <c r="T892" s="217" t="s">
        <v>850</v>
      </c>
    </row>
    <row r="893" spans="2:20" s="371" customFormat="1" x14ac:dyDescent="0.3">
      <c r="B893" s="214" t="s">
        <v>667</v>
      </c>
      <c r="C893" s="215" t="s">
        <v>406</v>
      </c>
      <c r="D893" s="216" t="str">
        <f>[2]!HsSetValue(E893,"FCC","Scenario#"&amp;R893&amp;";Years#"&amp;J893&amp;";Period#"&amp;I893&amp;";View#"&amp;S893&amp;";Entity#"&amp;H893&amp;";Data Source#"&amp;K893&amp;";Account#"&amp;F893&amp;";Intercompany#"&amp;L893&amp;";Movement#"&amp;Q893&amp;";Consolidation#"&amp;T893&amp;";Custom1#"&amp;M893&amp;";Custom2#"&amp;N893&amp;";Custom3#"&amp;O893&amp;";Custom4#"&amp;P893&amp;"")</f>
        <v>#Invalid Syntax</v>
      </c>
      <c r="E893" s="216">
        <f>SUMIFS('Investment Analysis'!$H$22:$H$69,'Investment Analysis'!$E$22:$E$69,"Sovereign Credit",'Investment Analysis'!$AB$22:$AB$69,"5")</f>
        <v>0</v>
      </c>
      <c r="F893" s="217" t="s">
        <v>674</v>
      </c>
      <c r="G893" s="217" t="s">
        <v>1068</v>
      </c>
      <c r="H893" s="218" t="e">
        <f t="shared" si="306"/>
        <v>#N/A</v>
      </c>
      <c r="I893" s="218" t="str">
        <f t="shared" si="306"/>
        <v>Jun</v>
      </c>
      <c r="J893" s="217" t="str">
        <f t="shared" si="306"/>
        <v>FY25</v>
      </c>
      <c r="K893" s="217" t="str">
        <f t="shared" si="306"/>
        <v>FCCS_Other Data</v>
      </c>
      <c r="L893" s="217" t="str">
        <f t="shared" si="306"/>
        <v>FCCS_No Intercompany</v>
      </c>
      <c r="M893" s="217" t="str">
        <f>+M$1</f>
        <v>No Custom1</v>
      </c>
      <c r="N893" s="217" t="str">
        <f t="shared" si="306"/>
        <v>No Custom2</v>
      </c>
      <c r="O893" s="217" t="s">
        <v>434</v>
      </c>
      <c r="P893" s="217" t="s">
        <v>580</v>
      </c>
      <c r="Q893" s="217" t="str">
        <f t="shared" si="307"/>
        <v>FCCS_ClosingBalance_Input</v>
      </c>
      <c r="R893" s="217" t="str">
        <f t="shared" ref="R893:S897" si="308">+R$2</f>
        <v>Actual</v>
      </c>
      <c r="S893" s="217" t="str">
        <f t="shared" si="308"/>
        <v>FCCS_YTD_Input</v>
      </c>
      <c r="T893" s="217" t="s">
        <v>850</v>
      </c>
    </row>
    <row r="894" spans="2:20" s="371" customFormat="1" x14ac:dyDescent="0.3">
      <c r="B894" s="214" t="s">
        <v>667</v>
      </c>
      <c r="C894" s="215" t="s">
        <v>406</v>
      </c>
      <c r="D894" s="216" t="str">
        <f>[2]!HsSetValue(E894,"FCC","Scenario#"&amp;R894&amp;";Years#"&amp;J894&amp;";Period#"&amp;I894&amp;";View#"&amp;S894&amp;";Entity#"&amp;H894&amp;";Data Source#"&amp;K894&amp;";Account#"&amp;F894&amp;";Intercompany#"&amp;L894&amp;";Movement#"&amp;Q894&amp;";Consolidation#"&amp;T894&amp;";Custom1#"&amp;M894&amp;";Custom2#"&amp;N894&amp;";Custom3#"&amp;O894&amp;";Custom4#"&amp;P894&amp;"")</f>
        <v>#Invalid Syntax</v>
      </c>
      <c r="E894" s="216">
        <f>SUMIFS('Investment Analysis'!$H$22:$H$69,'Investment Analysis'!$E$22:$E$69,"Sovereign Credit",'Investment Analysis'!$AB$22:$AB$69,"4")</f>
        <v>0</v>
      </c>
      <c r="F894" s="217" t="s">
        <v>674</v>
      </c>
      <c r="G894" s="217" t="s">
        <v>1068</v>
      </c>
      <c r="H894" s="218" t="e">
        <f t="shared" si="306"/>
        <v>#N/A</v>
      </c>
      <c r="I894" s="218" t="str">
        <f t="shared" si="306"/>
        <v>Jun</v>
      </c>
      <c r="J894" s="217" t="str">
        <f t="shared" si="306"/>
        <v>FY25</v>
      </c>
      <c r="K894" s="217" t="str">
        <f t="shared" si="306"/>
        <v>FCCS_Other Data</v>
      </c>
      <c r="L894" s="217" t="str">
        <f t="shared" si="306"/>
        <v>FCCS_No Intercompany</v>
      </c>
      <c r="M894" s="217" t="str">
        <f>+M$1</f>
        <v>No Custom1</v>
      </c>
      <c r="N894" s="217" t="str">
        <f t="shared" si="306"/>
        <v>No Custom2</v>
      </c>
      <c r="O894" s="217" t="s">
        <v>63</v>
      </c>
      <c r="P894" s="217" t="s">
        <v>580</v>
      </c>
      <c r="Q894" s="217" t="str">
        <f t="shared" si="307"/>
        <v>FCCS_ClosingBalance_Input</v>
      </c>
      <c r="R894" s="217" t="str">
        <f t="shared" si="308"/>
        <v>Actual</v>
      </c>
      <c r="S894" s="217" t="str">
        <f t="shared" si="308"/>
        <v>FCCS_YTD_Input</v>
      </c>
      <c r="T894" s="217" t="s">
        <v>850</v>
      </c>
    </row>
    <row r="895" spans="2:20" s="371" customFormat="1" x14ac:dyDescent="0.3">
      <c r="B895" s="214" t="s">
        <v>667</v>
      </c>
      <c r="C895" s="215" t="s">
        <v>406</v>
      </c>
      <c r="D895" s="216" t="str">
        <f>[2]!HsSetValue(E895,"FCC","Scenario#"&amp;R895&amp;";Years#"&amp;J895&amp;";Period#"&amp;I895&amp;";View#"&amp;S895&amp;";Entity#"&amp;H895&amp;";Data Source#"&amp;K895&amp;";Account#"&amp;F895&amp;";Intercompany#"&amp;L895&amp;";Movement#"&amp;Q895&amp;";Consolidation#"&amp;T895&amp;";Custom1#"&amp;M895&amp;";Custom2#"&amp;N895&amp;";Custom3#"&amp;O895&amp;";Custom4#"&amp;P895&amp;"")</f>
        <v>#Invalid Syntax</v>
      </c>
      <c r="E895" s="216">
        <f>SUMIFS('Investment Analysis'!$H$22:$H$69,'Investment Analysis'!$E$22:$E$69,"Sovereign Credit",'Investment Analysis'!$AB$22:$AB$69,"3")</f>
        <v>0</v>
      </c>
      <c r="F895" s="217" t="s">
        <v>674</v>
      </c>
      <c r="G895" s="217" t="s">
        <v>1068</v>
      </c>
      <c r="H895" s="218" t="e">
        <f t="shared" si="306"/>
        <v>#N/A</v>
      </c>
      <c r="I895" s="218" t="str">
        <f t="shared" si="306"/>
        <v>Jun</v>
      </c>
      <c r="J895" s="217" t="str">
        <f t="shared" si="306"/>
        <v>FY25</v>
      </c>
      <c r="K895" s="217" t="str">
        <f t="shared" si="306"/>
        <v>FCCS_Other Data</v>
      </c>
      <c r="L895" s="217" t="str">
        <f t="shared" si="306"/>
        <v>FCCS_No Intercompany</v>
      </c>
      <c r="M895" s="217" t="str">
        <f>+M$1</f>
        <v>No Custom1</v>
      </c>
      <c r="N895" s="217" t="str">
        <f t="shared" si="306"/>
        <v>No Custom2</v>
      </c>
      <c r="O895" s="217" t="s">
        <v>622</v>
      </c>
      <c r="P895" s="217" t="s">
        <v>580</v>
      </c>
      <c r="Q895" s="217" t="str">
        <f t="shared" si="307"/>
        <v>FCCS_ClosingBalance_Input</v>
      </c>
      <c r="R895" s="217" t="str">
        <f t="shared" si="308"/>
        <v>Actual</v>
      </c>
      <c r="S895" s="217" t="str">
        <f t="shared" si="308"/>
        <v>FCCS_YTD_Input</v>
      </c>
      <c r="T895" s="217" t="s">
        <v>850</v>
      </c>
    </row>
    <row r="896" spans="2:20" s="371" customFormat="1" x14ac:dyDescent="0.3">
      <c r="B896" s="214" t="s">
        <v>667</v>
      </c>
      <c r="C896" s="215" t="s">
        <v>406</v>
      </c>
      <c r="D896" s="216" t="str">
        <f>[2]!HsSetValue(E896,"FCC","Scenario#"&amp;R896&amp;";Years#"&amp;J896&amp;";Period#"&amp;I896&amp;";View#"&amp;S896&amp;";Entity#"&amp;H896&amp;";Data Source#"&amp;K896&amp;";Account#"&amp;F896&amp;";Intercompany#"&amp;L896&amp;";Movement#"&amp;Q896&amp;";Consolidation#"&amp;T896&amp;";Custom1#"&amp;M896&amp;";Custom2#"&amp;N896&amp;";Custom3#"&amp;O896&amp;";Custom4#"&amp;P896&amp;"")</f>
        <v>#Invalid Syntax</v>
      </c>
      <c r="E896" s="216">
        <f>SUMIFS('Investment Analysis'!$H$22:$H$69,'Investment Analysis'!$E$22:$E$69,"Sovereign Credit",'Investment Analysis'!$AB$22:$AB$69,"2")</f>
        <v>0</v>
      </c>
      <c r="F896" s="217" t="s">
        <v>674</v>
      </c>
      <c r="G896" s="217" t="s">
        <v>1068</v>
      </c>
      <c r="H896" s="218" t="e">
        <f t="shared" si="306"/>
        <v>#N/A</v>
      </c>
      <c r="I896" s="218" t="str">
        <f t="shared" si="306"/>
        <v>Jun</v>
      </c>
      <c r="J896" s="217" t="str">
        <f t="shared" si="306"/>
        <v>FY25</v>
      </c>
      <c r="K896" s="217" t="str">
        <f t="shared" si="306"/>
        <v>FCCS_Other Data</v>
      </c>
      <c r="L896" s="217" t="str">
        <f t="shared" si="306"/>
        <v>FCCS_No Intercompany</v>
      </c>
      <c r="M896" s="217" t="str">
        <f>+M$1</f>
        <v>No Custom1</v>
      </c>
      <c r="N896" s="217" t="str">
        <f t="shared" si="306"/>
        <v>No Custom2</v>
      </c>
      <c r="O896" s="217" t="s">
        <v>618</v>
      </c>
      <c r="P896" s="217" t="s">
        <v>580</v>
      </c>
      <c r="Q896" s="217" t="str">
        <f t="shared" si="307"/>
        <v>FCCS_ClosingBalance_Input</v>
      </c>
      <c r="R896" s="217" t="str">
        <f t="shared" si="308"/>
        <v>Actual</v>
      </c>
      <c r="S896" s="217" t="str">
        <f t="shared" si="308"/>
        <v>FCCS_YTD_Input</v>
      </c>
      <c r="T896" s="217" t="s">
        <v>850</v>
      </c>
    </row>
    <row r="897" spans="2:20" s="371" customFormat="1" x14ac:dyDescent="0.3">
      <c r="B897" s="214" t="s">
        <v>667</v>
      </c>
      <c r="C897" s="215" t="s">
        <v>406</v>
      </c>
      <c r="D897" s="216" t="str">
        <f>[2]!HsSetValue(E897,"FCC","Scenario#"&amp;R897&amp;";Years#"&amp;J897&amp;";Period#"&amp;I897&amp;";View#"&amp;S897&amp;";Entity#"&amp;H897&amp;";Data Source#"&amp;K897&amp;";Account#"&amp;F897&amp;";Intercompany#"&amp;L897&amp;";Movement#"&amp;Q897&amp;";Consolidation#"&amp;T897&amp;";Custom1#"&amp;M897&amp;";Custom2#"&amp;N897&amp;";Custom3#"&amp;O897&amp;";Custom4#"&amp;P897&amp;"")</f>
        <v>#Invalid Syntax</v>
      </c>
      <c r="E897" s="216">
        <f>SUMIFS('Investment Analysis'!$H$22:$H$69,'Investment Analysis'!$E$22:$E$69,"Sovereign Credit",'Investment Analysis'!$AB$22:$AB$69,"1")</f>
        <v>0</v>
      </c>
      <c r="F897" s="217" t="s">
        <v>674</v>
      </c>
      <c r="G897" s="217" t="s">
        <v>1068</v>
      </c>
      <c r="H897" s="218" t="e">
        <f t="shared" si="306"/>
        <v>#N/A</v>
      </c>
      <c r="I897" s="218" t="str">
        <f t="shared" si="306"/>
        <v>Jun</v>
      </c>
      <c r="J897" s="217" t="str">
        <f t="shared" si="306"/>
        <v>FY25</v>
      </c>
      <c r="K897" s="217" t="str">
        <f t="shared" si="306"/>
        <v>FCCS_Other Data</v>
      </c>
      <c r="L897" s="217" t="str">
        <f t="shared" si="306"/>
        <v>FCCS_No Intercompany</v>
      </c>
      <c r="M897" s="217" t="str">
        <f>+M$1</f>
        <v>No Custom1</v>
      </c>
      <c r="N897" s="217" t="str">
        <f t="shared" si="306"/>
        <v>No Custom2</v>
      </c>
      <c r="O897" s="217" t="s">
        <v>64</v>
      </c>
      <c r="P897" s="217" t="s">
        <v>580</v>
      </c>
      <c r="Q897" s="217" t="str">
        <f t="shared" si="307"/>
        <v>FCCS_ClosingBalance_Input</v>
      </c>
      <c r="R897" s="217" t="str">
        <f t="shared" si="308"/>
        <v>Actual</v>
      </c>
      <c r="S897" s="217" t="str">
        <f t="shared" si="308"/>
        <v>FCCS_YTD_Input</v>
      </c>
      <c r="T897" s="217" t="s">
        <v>850</v>
      </c>
    </row>
    <row r="898" spans="2:20" x14ac:dyDescent="0.3">
      <c r="B898" s="214" t="s">
        <v>667</v>
      </c>
      <c r="C898" s="215" t="s">
        <v>406</v>
      </c>
      <c r="D898" s="216" t="str">
        <f>[2]!HsSetValue(E898,"FCC","Scenario#"&amp;R898&amp;";Years#"&amp;J898&amp;";Period#"&amp;I898&amp;";View#"&amp;S898&amp;";Entity#"&amp;H898&amp;";Data Source#"&amp;K898&amp;";Account#"&amp;F898&amp;";Intercompany#"&amp;L898&amp;";Movement#"&amp;Q898&amp;";Consolidation#"&amp;T898&amp;";Custom1#"&amp;M898&amp;";Custom2#"&amp;N898&amp;";Custom3#"&amp;O898&amp;";Custom4#"&amp;P898&amp;"")</f>
        <v>#Invalid Syntax</v>
      </c>
      <c r="E898" s="216">
        <f>SUMIFS('Investment Analysis'!$H$22:$H$69,'Investment Analysis'!$E$22:$E$69,"Sovereign Credit",'Investment Analysis'!$AI$22:$AI$69,"16")</f>
        <v>0</v>
      </c>
      <c r="F898" s="217" t="s">
        <v>674</v>
      </c>
      <c r="G898" s="217" t="s">
        <v>1068</v>
      </c>
      <c r="H898" s="218" t="e">
        <f t="shared" si="306"/>
        <v>#N/A</v>
      </c>
      <c r="I898" s="218" t="str">
        <f t="shared" si="306"/>
        <v>Jun</v>
      </c>
      <c r="J898" s="217" t="str">
        <f t="shared" si="306"/>
        <v>FY25</v>
      </c>
      <c r="K898" s="217" t="s">
        <v>843</v>
      </c>
      <c r="L898" s="217" t="s">
        <v>844</v>
      </c>
      <c r="M898" s="217" t="s">
        <v>845</v>
      </c>
      <c r="N898" s="217" t="s">
        <v>846</v>
      </c>
      <c r="O898" s="217" t="s">
        <v>726</v>
      </c>
      <c r="P898" s="217" t="s">
        <v>580</v>
      </c>
      <c r="Q898" s="217" t="str">
        <f t="shared" si="307"/>
        <v>FCCS_ClosingBalance_Input</v>
      </c>
      <c r="R898" s="217" t="s">
        <v>169</v>
      </c>
      <c r="S898" s="217" t="s">
        <v>848</v>
      </c>
      <c r="T898" s="217" t="s">
        <v>850</v>
      </c>
    </row>
    <row r="899" spans="2:20" x14ac:dyDescent="0.3">
      <c r="B899" s="214" t="s">
        <v>667</v>
      </c>
      <c r="C899" s="215" t="s">
        <v>406</v>
      </c>
      <c r="D899" s="216" t="str">
        <f>[2]!HsSetValue(E899,"FCC","Scenario#"&amp;R899&amp;";Years#"&amp;J899&amp;";Period#"&amp;I899&amp;";View#"&amp;S899&amp;";Entity#"&amp;H899&amp;";Data Source#"&amp;K899&amp;";Account#"&amp;F899&amp;";Intercompany#"&amp;L899&amp;";Movement#"&amp;Q899&amp;";Consolidation#"&amp;T899&amp;";Custom1#"&amp;M899&amp;";Custom2#"&amp;N899&amp;";Custom3#"&amp;O899&amp;";Custom4#"&amp;P899&amp;"")</f>
        <v>#Invalid Syntax</v>
      </c>
      <c r="E899" s="216">
        <f>SUMIFS('Investment Analysis'!$H$22:$H$69,'Investment Analysis'!$E$22:$E$69,"Sovereign Credit",'Investment Analysis'!$AI$22:$AI$69,"15")</f>
        <v>0</v>
      </c>
      <c r="F899" s="217" t="s">
        <v>674</v>
      </c>
      <c r="G899" s="217" t="s">
        <v>1068</v>
      </c>
      <c r="H899" s="218" t="e">
        <f t="shared" si="306"/>
        <v>#N/A</v>
      </c>
      <c r="I899" s="218" t="str">
        <f t="shared" si="306"/>
        <v>Jun</v>
      </c>
      <c r="J899" s="217" t="str">
        <f t="shared" si="306"/>
        <v>FY25</v>
      </c>
      <c r="K899" s="217" t="s">
        <v>843</v>
      </c>
      <c r="L899" s="217" t="s">
        <v>844</v>
      </c>
      <c r="M899" s="217" t="s">
        <v>845</v>
      </c>
      <c r="N899" s="217" t="s">
        <v>846</v>
      </c>
      <c r="O899" s="217" t="s">
        <v>727</v>
      </c>
      <c r="P899" s="217" t="s">
        <v>580</v>
      </c>
      <c r="Q899" s="217" t="str">
        <f t="shared" si="307"/>
        <v>FCCS_ClosingBalance_Input</v>
      </c>
      <c r="R899" s="217" t="s">
        <v>169</v>
      </c>
      <c r="S899" s="217" t="s">
        <v>848</v>
      </c>
      <c r="T899" s="217" t="s">
        <v>850</v>
      </c>
    </row>
    <row r="900" spans="2:20" x14ac:dyDescent="0.3">
      <c r="B900" s="214" t="s">
        <v>667</v>
      </c>
      <c r="C900" s="215" t="s">
        <v>406</v>
      </c>
      <c r="D900" s="216" t="str">
        <f>[2]!HsSetValue(E900,"FCC","Scenario#"&amp;R900&amp;";Years#"&amp;J900&amp;";Period#"&amp;I900&amp;";View#"&amp;S900&amp;";Entity#"&amp;H900&amp;";Data Source#"&amp;K900&amp;";Account#"&amp;F900&amp;";Intercompany#"&amp;L900&amp;";Movement#"&amp;Q900&amp;";Consolidation#"&amp;T900&amp;";Custom1#"&amp;M900&amp;";Custom2#"&amp;N900&amp;";Custom3#"&amp;O900&amp;";Custom4#"&amp;P900&amp;"")</f>
        <v>#Invalid Syntax</v>
      </c>
      <c r="E900" s="216">
        <f>SUMIFS('Investment Analysis'!$H$22:$H$69,'Investment Analysis'!$E$22:$E$69,"Sovereign Credit",'Investment Analysis'!$AI$22:$AI$69,"14")</f>
        <v>0</v>
      </c>
      <c r="F900" s="217" t="s">
        <v>674</v>
      </c>
      <c r="G900" s="217" t="s">
        <v>1068</v>
      </c>
      <c r="H900" s="218" t="e">
        <f t="shared" si="306"/>
        <v>#N/A</v>
      </c>
      <c r="I900" s="218" t="str">
        <f t="shared" si="306"/>
        <v>Jun</v>
      </c>
      <c r="J900" s="217" t="str">
        <f t="shared" si="306"/>
        <v>FY25</v>
      </c>
      <c r="K900" s="217" t="s">
        <v>843</v>
      </c>
      <c r="L900" s="217" t="s">
        <v>844</v>
      </c>
      <c r="M900" s="217" t="s">
        <v>845</v>
      </c>
      <c r="N900" s="217" t="s">
        <v>846</v>
      </c>
      <c r="O900" s="217" t="s">
        <v>728</v>
      </c>
      <c r="P900" s="217" t="s">
        <v>580</v>
      </c>
      <c r="Q900" s="217" t="str">
        <f t="shared" si="307"/>
        <v>FCCS_ClosingBalance_Input</v>
      </c>
      <c r="R900" s="217" t="s">
        <v>169</v>
      </c>
      <c r="S900" s="217" t="s">
        <v>848</v>
      </c>
      <c r="T900" s="217" t="s">
        <v>850</v>
      </c>
    </row>
    <row r="901" spans="2:20" x14ac:dyDescent="0.3">
      <c r="B901" s="214" t="s">
        <v>667</v>
      </c>
      <c r="C901" s="215" t="s">
        <v>406</v>
      </c>
      <c r="D901" s="216" t="str">
        <f>[2]!HsSetValue(E901,"FCC","Scenario#"&amp;R901&amp;";Years#"&amp;J901&amp;";Period#"&amp;I901&amp;";View#"&amp;S901&amp;";Entity#"&amp;H901&amp;";Data Source#"&amp;K901&amp;";Account#"&amp;F901&amp;";Intercompany#"&amp;L901&amp;";Movement#"&amp;Q901&amp;";Consolidation#"&amp;T901&amp;";Custom1#"&amp;M901&amp;";Custom2#"&amp;N901&amp;";Custom3#"&amp;O901&amp;";Custom4#"&amp;P901&amp;"")</f>
        <v>#Invalid Syntax</v>
      </c>
      <c r="E901" s="216">
        <f>SUMIFS('Investment Analysis'!$H$22:$H$69,'Investment Analysis'!$E$22:$E$69,"Sovereign Credit",'Investment Analysis'!$AB$22:$AB$69,"0")+SUMIFS('Investment Analysis'!$H$22:$H$69,'Investment Analysis'!$E$22:$E$69,"Sovereign Credit",'Investment Analysis'!$AI$22:$AI$69,"0")</f>
        <v>0</v>
      </c>
      <c r="F901" s="217" t="s">
        <v>674</v>
      </c>
      <c r="G901" s="217" t="s">
        <v>1068</v>
      </c>
      <c r="H901" s="218" t="e">
        <f t="shared" si="306"/>
        <v>#N/A</v>
      </c>
      <c r="I901" s="218" t="str">
        <f t="shared" si="306"/>
        <v>Jun</v>
      </c>
      <c r="J901" s="217" t="str">
        <f t="shared" si="306"/>
        <v>FY25</v>
      </c>
      <c r="K901" s="217" t="s">
        <v>843</v>
      </c>
      <c r="L901" s="217" t="s">
        <v>844</v>
      </c>
      <c r="M901" s="217" t="s">
        <v>845</v>
      </c>
      <c r="N901" s="217" t="s">
        <v>846</v>
      </c>
      <c r="O901" s="217" t="s">
        <v>609</v>
      </c>
      <c r="P901" s="217" t="s">
        <v>580</v>
      </c>
      <c r="Q901" s="217" t="str">
        <f t="shared" si="307"/>
        <v>FCCS_ClosingBalance_Input</v>
      </c>
      <c r="R901" s="217" t="s">
        <v>169</v>
      </c>
      <c r="S901" s="217" t="s">
        <v>848</v>
      </c>
      <c r="T901" s="217" t="s">
        <v>850</v>
      </c>
    </row>
    <row r="902" spans="2:20" x14ac:dyDescent="0.3">
      <c r="B902" s="210"/>
      <c r="C902" s="211"/>
      <c r="D902" s="212"/>
      <c r="E902" s="212"/>
    </row>
    <row r="903" spans="2:20" x14ac:dyDescent="0.3">
      <c r="B903" s="219" t="s">
        <v>1014</v>
      </c>
      <c r="C903" s="220" t="s">
        <v>406</v>
      </c>
      <c r="D903" s="221" t="str">
        <f>[2]!HsSetValue(E903,"FCC","Scenario#"&amp;R903&amp;";Years#"&amp;J903&amp;";Period#"&amp;I903&amp;";View#"&amp;S903&amp;";Entity#"&amp;H903&amp;";Data Source#"&amp;K903&amp;";Account#"&amp;F903&amp;";Intercompany#"&amp;L903&amp;";Movement#"&amp;Q903&amp;";Consolidation#"&amp;T903&amp;";Custom1#"&amp;M903&amp;";Custom2#"&amp;N903&amp;";Custom3#"&amp;O903&amp;";Custom4#"&amp;P903&amp;"")</f>
        <v>#Invalid Syntax</v>
      </c>
      <c r="E903" s="221">
        <f>SUMIFS('Investment Analysis'!$H$22:$H$69,'Investment Analysis'!$E$22:$E$69,"Sovereign Credit",'Investment Analysis'!$AK$22:$AK$69,"21")</f>
        <v>0</v>
      </c>
      <c r="F903" s="222" t="s">
        <v>675</v>
      </c>
      <c r="G903" s="222" t="s">
        <v>1040</v>
      </c>
      <c r="H903" s="223" t="e">
        <f>+H$2</f>
        <v>#N/A</v>
      </c>
      <c r="I903" s="223" t="str">
        <f t="shared" ref="I903:J918" si="309">+I$2</f>
        <v>Jun</v>
      </c>
      <c r="J903" s="222" t="str">
        <f t="shared" si="306"/>
        <v>FY25</v>
      </c>
      <c r="K903" s="222" t="s">
        <v>843</v>
      </c>
      <c r="L903" s="222" t="s">
        <v>844</v>
      </c>
      <c r="M903" s="222" t="s">
        <v>845</v>
      </c>
      <c r="N903" s="222" t="s">
        <v>846</v>
      </c>
      <c r="O903" s="222" t="s">
        <v>729</v>
      </c>
      <c r="P903" s="222" t="s">
        <v>580</v>
      </c>
      <c r="Q903" s="222" t="str">
        <f t="shared" ref="Q903:Q907" si="310">Q$2</f>
        <v>FCCS_ClosingBalance_Input</v>
      </c>
      <c r="R903" s="222" t="s">
        <v>169</v>
      </c>
      <c r="S903" s="222" t="s">
        <v>848</v>
      </c>
      <c r="T903" s="222" t="s">
        <v>850</v>
      </c>
    </row>
    <row r="904" spans="2:20" x14ac:dyDescent="0.3">
      <c r="B904" s="219" t="s">
        <v>1014</v>
      </c>
      <c r="C904" s="220" t="s">
        <v>406</v>
      </c>
      <c r="D904" s="221" t="str">
        <f>[2]!HsSetValue(E904,"FCC","Scenario#"&amp;R904&amp;";Years#"&amp;J904&amp;";Period#"&amp;I904&amp;";View#"&amp;S904&amp;";Entity#"&amp;H904&amp;";Data Source#"&amp;K904&amp;";Account#"&amp;F904&amp;";Intercompany#"&amp;L904&amp;";Movement#"&amp;Q904&amp;";Consolidation#"&amp;T904&amp;";Custom1#"&amp;M904&amp;";Custom2#"&amp;N904&amp;";Custom3#"&amp;O904&amp;";Custom4#"&amp;P904&amp;"")</f>
        <v>#Invalid Syntax</v>
      </c>
      <c r="E904" s="221">
        <f>SUMIFS('Investment Analysis'!$H$22:$H$69,'Investment Analysis'!$E$22:$E$69,"Sovereign Credit",'Investment Analysis'!$AK$22:$AK$69,"22")</f>
        <v>0</v>
      </c>
      <c r="F904" s="222" t="s">
        <v>675</v>
      </c>
      <c r="G904" s="222" t="s">
        <v>1040</v>
      </c>
      <c r="H904" s="223" t="e">
        <f>+H$2</f>
        <v>#N/A</v>
      </c>
      <c r="I904" s="223" t="str">
        <f t="shared" si="309"/>
        <v>Jun</v>
      </c>
      <c r="J904" s="222" t="str">
        <f t="shared" si="309"/>
        <v>FY25</v>
      </c>
      <c r="K904" s="222" t="s">
        <v>843</v>
      </c>
      <c r="L904" s="222" t="s">
        <v>844</v>
      </c>
      <c r="M904" s="222" t="s">
        <v>845</v>
      </c>
      <c r="N904" s="222" t="s">
        <v>846</v>
      </c>
      <c r="O904" s="222" t="s">
        <v>730</v>
      </c>
      <c r="P904" s="222" t="s">
        <v>580</v>
      </c>
      <c r="Q904" s="222" t="str">
        <f t="shared" si="310"/>
        <v>FCCS_ClosingBalance_Input</v>
      </c>
      <c r="R904" s="222" t="s">
        <v>169</v>
      </c>
      <c r="S904" s="222" t="s">
        <v>848</v>
      </c>
      <c r="T904" s="222" t="s">
        <v>850</v>
      </c>
    </row>
    <row r="905" spans="2:20" x14ac:dyDescent="0.3">
      <c r="B905" s="219" t="s">
        <v>1014</v>
      </c>
      <c r="C905" s="220" t="s">
        <v>406</v>
      </c>
      <c r="D905" s="221" t="str">
        <f>[2]!HsSetValue(E905,"FCC","Scenario#"&amp;R905&amp;";Years#"&amp;J905&amp;";Period#"&amp;I905&amp;";View#"&amp;S905&amp;";Entity#"&amp;H905&amp;";Data Source#"&amp;K905&amp;";Account#"&amp;F905&amp;";Intercompany#"&amp;L905&amp;";Movement#"&amp;Q905&amp;";Consolidation#"&amp;T905&amp;";Custom1#"&amp;M905&amp;";Custom2#"&amp;N905&amp;";Custom3#"&amp;O905&amp;";Custom4#"&amp;P905&amp;"")</f>
        <v>#Invalid Syntax</v>
      </c>
      <c r="E905" s="221">
        <f>SUMIFS('Investment Analysis'!$H$22:$H$69,'Investment Analysis'!$E$22:$E$69,"Sovereign Credit",'Investment Analysis'!$AK$22:$AK$69,"23")</f>
        <v>0</v>
      </c>
      <c r="F905" s="222" t="s">
        <v>675</v>
      </c>
      <c r="G905" s="222" t="s">
        <v>1040</v>
      </c>
      <c r="H905" s="223" t="e">
        <f>+H$2</f>
        <v>#N/A</v>
      </c>
      <c r="I905" s="223" t="str">
        <f t="shared" si="309"/>
        <v>Jun</v>
      </c>
      <c r="J905" s="222" t="str">
        <f t="shared" si="309"/>
        <v>FY25</v>
      </c>
      <c r="K905" s="222" t="s">
        <v>843</v>
      </c>
      <c r="L905" s="222" t="s">
        <v>844</v>
      </c>
      <c r="M905" s="222" t="s">
        <v>845</v>
      </c>
      <c r="N905" s="222" t="s">
        <v>846</v>
      </c>
      <c r="O905" s="222" t="s">
        <v>731</v>
      </c>
      <c r="P905" s="222" t="s">
        <v>580</v>
      </c>
      <c r="Q905" s="222" t="str">
        <f t="shared" si="310"/>
        <v>FCCS_ClosingBalance_Input</v>
      </c>
      <c r="R905" s="222" t="s">
        <v>169</v>
      </c>
      <c r="S905" s="222" t="s">
        <v>848</v>
      </c>
      <c r="T905" s="222" t="s">
        <v>850</v>
      </c>
    </row>
    <row r="906" spans="2:20" x14ac:dyDescent="0.3">
      <c r="B906" s="219" t="s">
        <v>1014</v>
      </c>
      <c r="C906" s="220" t="s">
        <v>406</v>
      </c>
      <c r="D906" s="221" t="str">
        <f>[2]!HsSetValue(E906,"FCC","Scenario#"&amp;R906&amp;";Years#"&amp;J906&amp;";Period#"&amp;I906&amp;";View#"&amp;S906&amp;";Entity#"&amp;H906&amp;";Data Source#"&amp;K906&amp;";Account#"&amp;F906&amp;";Intercompany#"&amp;L906&amp;";Movement#"&amp;Q906&amp;";Consolidation#"&amp;T906&amp;";Custom1#"&amp;M906&amp;";Custom2#"&amp;N906&amp;";Custom3#"&amp;O906&amp;";Custom4#"&amp;P906&amp;"")</f>
        <v>#Invalid Syntax</v>
      </c>
      <c r="E906" s="221">
        <f>SUMIFS('Investment Analysis'!$H$22:$H$69,'Investment Analysis'!$E$22:$E$69,"Sovereign Credit",'Investment Analysis'!$AK$22:$AK$69,"24")</f>
        <v>0</v>
      </c>
      <c r="F906" s="222" t="s">
        <v>675</v>
      </c>
      <c r="G906" s="222" t="s">
        <v>1040</v>
      </c>
      <c r="H906" s="223" t="e">
        <f>+H$2</f>
        <v>#N/A</v>
      </c>
      <c r="I906" s="223" t="str">
        <f t="shared" si="309"/>
        <v>Jun</v>
      </c>
      <c r="J906" s="222" t="str">
        <f t="shared" si="309"/>
        <v>FY25</v>
      </c>
      <c r="K906" s="222" t="s">
        <v>843</v>
      </c>
      <c r="L906" s="222" t="s">
        <v>844</v>
      </c>
      <c r="M906" s="222" t="s">
        <v>845</v>
      </c>
      <c r="N906" s="222" t="s">
        <v>846</v>
      </c>
      <c r="O906" s="222" t="s">
        <v>732</v>
      </c>
      <c r="P906" s="222" t="s">
        <v>580</v>
      </c>
      <c r="Q906" s="222" t="str">
        <f t="shared" si="310"/>
        <v>FCCS_ClosingBalance_Input</v>
      </c>
      <c r="R906" s="222" t="s">
        <v>169</v>
      </c>
      <c r="S906" s="222" t="s">
        <v>848</v>
      </c>
      <c r="T906" s="222" t="s">
        <v>850</v>
      </c>
    </row>
    <row r="907" spans="2:20" x14ac:dyDescent="0.3">
      <c r="B907" s="219" t="s">
        <v>1014</v>
      </c>
      <c r="C907" s="220" t="s">
        <v>406</v>
      </c>
      <c r="D907" s="221" t="str">
        <f>[2]!HsSetValue(E907,"FCC","Scenario#"&amp;R907&amp;";Years#"&amp;J907&amp;";Period#"&amp;I907&amp;";View#"&amp;S907&amp;";Entity#"&amp;H907&amp;";Data Source#"&amp;K907&amp;";Account#"&amp;F907&amp;";Intercompany#"&amp;L907&amp;";Movement#"&amp;Q907&amp;";Consolidation#"&amp;T907&amp;";Custom1#"&amp;M907&amp;";Custom2#"&amp;N907&amp;";Custom3#"&amp;O907&amp;";Custom4#"&amp;P907&amp;"")</f>
        <v>#Invalid Syntax</v>
      </c>
      <c r="E907" s="221">
        <f>SUMIFS('Investment Analysis'!$H$22:$H$69,'Investment Analysis'!$E$22:$E$69,"Sovereign Credit",'Investment Analysis'!$AK$22:$AK$69,"25")</f>
        <v>0</v>
      </c>
      <c r="F907" s="222" t="s">
        <v>675</v>
      </c>
      <c r="G907" s="222" t="s">
        <v>1040</v>
      </c>
      <c r="H907" s="223" t="e">
        <f>+H$2</f>
        <v>#N/A</v>
      </c>
      <c r="I907" s="223" t="str">
        <f t="shared" si="309"/>
        <v>Jun</v>
      </c>
      <c r="J907" s="222" t="str">
        <f t="shared" si="309"/>
        <v>FY25</v>
      </c>
      <c r="K907" s="222" t="s">
        <v>843</v>
      </c>
      <c r="L907" s="222" t="s">
        <v>844</v>
      </c>
      <c r="M907" s="222" t="s">
        <v>845</v>
      </c>
      <c r="N907" s="222" t="s">
        <v>846</v>
      </c>
      <c r="O907" s="222" t="s">
        <v>733</v>
      </c>
      <c r="P907" s="222" t="s">
        <v>580</v>
      </c>
      <c r="Q907" s="222" t="str">
        <f t="shared" si="310"/>
        <v>FCCS_ClosingBalance_Input</v>
      </c>
      <c r="R907" s="222" t="s">
        <v>169</v>
      </c>
      <c r="S907" s="222" t="s">
        <v>848</v>
      </c>
      <c r="T907" s="222" t="s">
        <v>850</v>
      </c>
    </row>
    <row r="908" spans="2:20" outlineLevel="1" x14ac:dyDescent="0.3">
      <c r="B908" s="210"/>
      <c r="C908" s="210"/>
      <c r="D908" s="212"/>
      <c r="E908" s="212"/>
    </row>
    <row r="909" spans="2:20" x14ac:dyDescent="0.3">
      <c r="B909" s="364" t="s">
        <v>668</v>
      </c>
      <c r="C909" s="365" t="s">
        <v>407</v>
      </c>
      <c r="D909" s="366" t="str">
        <f>[2]!HsSetValue(E909,"FCC","Scenario#"&amp;R909&amp;";Years#"&amp;J909&amp;";Period#"&amp;I909&amp;";View#"&amp;S909&amp;";Entity#"&amp;H909&amp;";Data Source#"&amp;K909&amp;";Account#"&amp;F909&amp;";Intercompany#"&amp;L909&amp;";Movement#"&amp;Q909&amp;";Consolidation#"&amp;T909&amp;";Custom1#"&amp;M909&amp;";Custom2#"&amp;N909&amp;";Custom3#"&amp;O909&amp;";Custom4#"&amp;P909&amp;"")</f>
        <v>#Invalid Syntax</v>
      </c>
      <c r="E909" s="366">
        <f>SUMIF('Investment Analysis'!$E$22:$E$69,'FCC Investments - Load Tab'!C909,'Investment Analysis'!$K$22:$K$69)</f>
        <v>0</v>
      </c>
      <c r="F909" s="367" t="s">
        <v>673</v>
      </c>
      <c r="G909" s="367" t="s">
        <v>698</v>
      </c>
      <c r="H909" s="368" t="e">
        <f>+H$2</f>
        <v>#N/A</v>
      </c>
      <c r="I909" s="368" t="str">
        <f t="shared" ref="I909:I913" si="311">+I$2</f>
        <v>Jun</v>
      </c>
      <c r="J909" s="367" t="str">
        <f t="shared" si="309"/>
        <v>FY25</v>
      </c>
      <c r="K909" s="367" t="s">
        <v>843</v>
      </c>
      <c r="L909" s="367" t="s">
        <v>844</v>
      </c>
      <c r="M909" s="367" t="s">
        <v>845</v>
      </c>
      <c r="N909" s="367" t="s">
        <v>846</v>
      </c>
      <c r="O909" s="367" t="s">
        <v>721</v>
      </c>
      <c r="P909" s="367" t="s">
        <v>581</v>
      </c>
      <c r="Q909" s="367" t="str">
        <f t="shared" ref="Q909:Q913" si="312">Q$2</f>
        <v>FCCS_ClosingBalance_Input</v>
      </c>
      <c r="R909" s="367" t="s">
        <v>169</v>
      </c>
      <c r="S909" s="367" t="s">
        <v>848</v>
      </c>
      <c r="T909" s="367" t="s">
        <v>850</v>
      </c>
    </row>
    <row r="910" spans="2:20" x14ac:dyDescent="0.3">
      <c r="B910" s="364" t="s">
        <v>668</v>
      </c>
      <c r="C910" s="365" t="s">
        <v>407</v>
      </c>
      <c r="D910" s="366" t="str">
        <f>[2]!HsSetValue(E910,"FCC","Scenario#"&amp;R910&amp;";Years#"&amp;J910&amp;";Period#"&amp;I910&amp;";View#"&amp;S910&amp;";Entity#"&amp;H910&amp;";Data Source#"&amp;K910&amp;";Account#"&amp;F910&amp;";Intercompany#"&amp;L910&amp;";Movement#"&amp;Q910&amp;";Consolidation#"&amp;T910&amp;";Custom1#"&amp;M910&amp;";Custom2#"&amp;N910&amp;";Custom3#"&amp;O910&amp;";Custom4#"&amp;P910&amp;"")</f>
        <v>#Invalid Syntax</v>
      </c>
      <c r="E910" s="366">
        <f>SUMIF('Investment Analysis'!$E$22:$E$69,'FCC Investments - Load Tab'!C909,'Investment Analysis'!$L$22:$L$69)</f>
        <v>0</v>
      </c>
      <c r="F910" s="367" t="s">
        <v>673</v>
      </c>
      <c r="G910" s="367" t="s">
        <v>698</v>
      </c>
      <c r="H910" s="368" t="e">
        <f>+H$2</f>
        <v>#N/A</v>
      </c>
      <c r="I910" s="368" t="str">
        <f t="shared" si="311"/>
        <v>Jun</v>
      </c>
      <c r="J910" s="367" t="str">
        <f t="shared" si="309"/>
        <v>FY25</v>
      </c>
      <c r="K910" s="367" t="s">
        <v>843</v>
      </c>
      <c r="L910" s="367" t="s">
        <v>844</v>
      </c>
      <c r="M910" s="367" t="s">
        <v>845</v>
      </c>
      <c r="N910" s="367" t="s">
        <v>846</v>
      </c>
      <c r="O910" s="367" t="s">
        <v>722</v>
      </c>
      <c r="P910" s="367" t="s">
        <v>581</v>
      </c>
      <c r="Q910" s="367" t="str">
        <f t="shared" si="312"/>
        <v>FCCS_ClosingBalance_Input</v>
      </c>
      <c r="R910" s="367" t="s">
        <v>169</v>
      </c>
      <c r="S910" s="367" t="s">
        <v>848</v>
      </c>
      <c r="T910" s="367" t="s">
        <v>850</v>
      </c>
    </row>
    <row r="911" spans="2:20" x14ac:dyDescent="0.3">
      <c r="B911" s="364" t="s">
        <v>668</v>
      </c>
      <c r="C911" s="365" t="s">
        <v>407</v>
      </c>
      <c r="D911" s="366" t="str">
        <f>[2]!HsSetValue(E911,"FCC","Scenario#"&amp;R911&amp;";Years#"&amp;J911&amp;";Period#"&amp;I911&amp;";View#"&amp;S911&amp;";Entity#"&amp;H911&amp;";Data Source#"&amp;K911&amp;";Account#"&amp;F911&amp;";Intercompany#"&amp;L911&amp;";Movement#"&amp;Q911&amp;";Consolidation#"&amp;T911&amp;";Custom1#"&amp;M911&amp;";Custom2#"&amp;N911&amp;";Custom3#"&amp;O911&amp;";Custom4#"&amp;P911&amp;"")</f>
        <v>#Invalid Syntax</v>
      </c>
      <c r="E911" s="366">
        <f>SUMIF('Investment Analysis'!$E$22:$E$69,'FCC Investments - Load Tab'!C909,'Investment Analysis'!$M$22:$M$69)</f>
        <v>0</v>
      </c>
      <c r="F911" s="367" t="s">
        <v>673</v>
      </c>
      <c r="G911" s="367" t="s">
        <v>698</v>
      </c>
      <c r="H911" s="368" t="e">
        <f>+H$2</f>
        <v>#N/A</v>
      </c>
      <c r="I911" s="368" t="str">
        <f t="shared" si="311"/>
        <v>Jun</v>
      </c>
      <c r="J911" s="367" t="str">
        <f t="shared" si="309"/>
        <v>FY25</v>
      </c>
      <c r="K911" s="367" t="s">
        <v>843</v>
      </c>
      <c r="L911" s="367" t="s">
        <v>844</v>
      </c>
      <c r="M911" s="367" t="s">
        <v>845</v>
      </c>
      <c r="N911" s="367" t="s">
        <v>846</v>
      </c>
      <c r="O911" s="367" t="s">
        <v>723</v>
      </c>
      <c r="P911" s="367" t="s">
        <v>581</v>
      </c>
      <c r="Q911" s="367" t="str">
        <f t="shared" si="312"/>
        <v>FCCS_ClosingBalance_Input</v>
      </c>
      <c r="R911" s="367" t="s">
        <v>169</v>
      </c>
      <c r="S911" s="367" t="s">
        <v>848</v>
      </c>
      <c r="T911" s="367" t="s">
        <v>850</v>
      </c>
    </row>
    <row r="912" spans="2:20" x14ac:dyDescent="0.3">
      <c r="B912" s="364" t="s">
        <v>668</v>
      </c>
      <c r="C912" s="365" t="s">
        <v>407</v>
      </c>
      <c r="D912" s="366" t="str">
        <f>[2]!HsSetValue(E912,"FCC","Scenario#"&amp;R912&amp;";Years#"&amp;J912&amp;";Period#"&amp;I912&amp;";View#"&amp;S912&amp;";Entity#"&amp;H912&amp;";Data Source#"&amp;K912&amp;";Account#"&amp;F912&amp;";Intercompany#"&amp;L912&amp;";Movement#"&amp;Q912&amp;";Consolidation#"&amp;T912&amp;";Custom1#"&amp;M912&amp;";Custom2#"&amp;N912&amp;";Custom3#"&amp;O912&amp;";Custom4#"&amp;P912&amp;"")</f>
        <v>#Invalid Syntax</v>
      </c>
      <c r="E912" s="366">
        <f>SUMIF('Investment Analysis'!$E$22:$E$69,'FCC Investments - Load Tab'!C912,'Investment Analysis'!$N$22:$N$69)</f>
        <v>0</v>
      </c>
      <c r="F912" s="367" t="s">
        <v>673</v>
      </c>
      <c r="G912" s="367" t="s">
        <v>698</v>
      </c>
      <c r="H912" s="368" t="e">
        <f>+H$2</f>
        <v>#N/A</v>
      </c>
      <c r="I912" s="368" t="str">
        <f t="shared" si="311"/>
        <v>Jun</v>
      </c>
      <c r="J912" s="367" t="str">
        <f t="shared" si="309"/>
        <v>FY25</v>
      </c>
      <c r="K912" s="367" t="s">
        <v>843</v>
      </c>
      <c r="L912" s="367" t="s">
        <v>844</v>
      </c>
      <c r="M912" s="367" t="s">
        <v>845</v>
      </c>
      <c r="N912" s="367" t="s">
        <v>846</v>
      </c>
      <c r="O912" s="367" t="s">
        <v>724</v>
      </c>
      <c r="P912" s="367" t="s">
        <v>581</v>
      </c>
      <c r="Q912" s="367" t="str">
        <f t="shared" si="312"/>
        <v>FCCS_ClosingBalance_Input</v>
      </c>
      <c r="R912" s="367" t="s">
        <v>169</v>
      </c>
      <c r="S912" s="367" t="s">
        <v>848</v>
      </c>
      <c r="T912" s="367" t="s">
        <v>850</v>
      </c>
    </row>
    <row r="913" spans="2:20" x14ac:dyDescent="0.3">
      <c r="B913" s="364" t="s">
        <v>668</v>
      </c>
      <c r="C913" s="365" t="s">
        <v>407</v>
      </c>
      <c r="D913" s="366" t="str">
        <f>[2]!HsSetValue(E913,"FCC","Scenario#"&amp;R913&amp;";Years#"&amp;J913&amp;";Period#"&amp;I913&amp;";View#"&amp;S913&amp;";Entity#"&amp;H913&amp;";Data Source#"&amp;K913&amp;";Account#"&amp;F913&amp;";Intercompany#"&amp;L913&amp;";Movement#"&amp;Q913&amp;";Consolidation#"&amp;T913&amp;";Custom1#"&amp;M913&amp;";Custom2#"&amp;N913&amp;";Custom3#"&amp;O913&amp;";Custom4#"&amp;P913&amp;"")</f>
        <v>#Invalid Syntax</v>
      </c>
      <c r="E913" s="366">
        <f>SUMIF('Investment Analysis'!$E$2:$E$69,'FCC Investments - Load Tab'!C913,'Investment Analysis'!$O$2:$O$69)</f>
        <v>0</v>
      </c>
      <c r="F913" s="367" t="s">
        <v>673</v>
      </c>
      <c r="G913" s="367" t="s">
        <v>698</v>
      </c>
      <c r="H913" s="368" t="e">
        <f>+H$2</f>
        <v>#N/A</v>
      </c>
      <c r="I913" s="368" t="str">
        <f t="shared" si="311"/>
        <v>Jun</v>
      </c>
      <c r="J913" s="367" t="str">
        <f t="shared" si="309"/>
        <v>FY25</v>
      </c>
      <c r="K913" s="367" t="s">
        <v>843</v>
      </c>
      <c r="L913" s="367" t="s">
        <v>844</v>
      </c>
      <c r="M913" s="367" t="s">
        <v>845</v>
      </c>
      <c r="N913" s="367" t="s">
        <v>846</v>
      </c>
      <c r="O913" s="367" t="s">
        <v>725</v>
      </c>
      <c r="P913" s="367" t="s">
        <v>581</v>
      </c>
      <c r="Q913" s="367" t="str">
        <f t="shared" si="312"/>
        <v>FCCS_ClosingBalance_Input</v>
      </c>
      <c r="R913" s="367" t="s">
        <v>169</v>
      </c>
      <c r="S913" s="367" t="s">
        <v>848</v>
      </c>
      <c r="T913" s="367" t="s">
        <v>850</v>
      </c>
    </row>
    <row r="914" spans="2:20" x14ac:dyDescent="0.3">
      <c r="B914" s="210"/>
      <c r="C914" s="211"/>
      <c r="D914" s="212"/>
      <c r="E914" s="212"/>
    </row>
    <row r="915" spans="2:20" x14ac:dyDescent="0.3">
      <c r="B915" s="214" t="s">
        <v>667</v>
      </c>
      <c r="C915" s="215" t="s">
        <v>407</v>
      </c>
      <c r="D915" s="216" t="str">
        <f>[2]!HsSetValue(E915,"FCC","Scenario#"&amp;R915&amp;";Years#"&amp;J915&amp;";Period#"&amp;I915&amp;";View#"&amp;S915&amp;";Entity#"&amp;H915&amp;";Data Source#"&amp;K915&amp;";Account#"&amp;F915&amp;";Intercompany#"&amp;L915&amp;";Movement#"&amp;Q915&amp;";Consolidation#"&amp;T915&amp;";Custom1#"&amp;M915&amp;";Custom2#"&amp;N915&amp;";Custom3#"&amp;O915&amp;";Custom4#"&amp;P915&amp;"")</f>
        <v>#Invalid Syntax</v>
      </c>
      <c r="E915" s="216">
        <f>SUMIFS('Investment Analysis'!$H$22:$H$69,'Investment Analysis'!$E$22:$E$69,"Supranational Obligations",'Investment Analysis'!$AB$22:$AB$69,"10")</f>
        <v>0</v>
      </c>
      <c r="F915" s="217" t="s">
        <v>674</v>
      </c>
      <c r="G915" s="217" t="s">
        <v>1069</v>
      </c>
      <c r="H915" s="218" t="e">
        <f t="shared" ref="H915:N930" si="313">+H$2</f>
        <v>#N/A</v>
      </c>
      <c r="I915" s="218" t="str">
        <f t="shared" si="313"/>
        <v>Jun</v>
      </c>
      <c r="J915" s="217" t="str">
        <f t="shared" si="309"/>
        <v>FY25</v>
      </c>
      <c r="K915" s="217" t="s">
        <v>843</v>
      </c>
      <c r="L915" s="217" t="s">
        <v>844</v>
      </c>
      <c r="M915" s="217" t="s">
        <v>845</v>
      </c>
      <c r="N915" s="217" t="s">
        <v>846</v>
      </c>
      <c r="O915" s="217" t="s">
        <v>433</v>
      </c>
      <c r="P915" s="217" t="s">
        <v>581</v>
      </c>
      <c r="Q915" s="217" t="str">
        <f t="shared" ref="Q915:Q928" si="314">Q$2</f>
        <v>FCCS_ClosingBalance_Input</v>
      </c>
      <c r="R915" s="217" t="s">
        <v>169</v>
      </c>
      <c r="S915" s="217" t="s">
        <v>848</v>
      </c>
      <c r="T915" s="217" t="s">
        <v>850</v>
      </c>
    </row>
    <row r="916" spans="2:20" x14ac:dyDescent="0.3">
      <c r="B916" s="214" t="s">
        <v>667</v>
      </c>
      <c r="C916" s="215" t="s">
        <v>407</v>
      </c>
      <c r="D916" s="216" t="str">
        <f>[2]!HsSetValue(E916,"FCC","Scenario#"&amp;R916&amp;";Years#"&amp;J916&amp;";Period#"&amp;I916&amp;";View#"&amp;S916&amp;";Entity#"&amp;H916&amp;";Data Source#"&amp;K916&amp;";Account#"&amp;F916&amp;";Intercompany#"&amp;L916&amp;";Movement#"&amp;Q916&amp;";Consolidation#"&amp;T916&amp;";Custom1#"&amp;M916&amp;";Custom2#"&amp;N916&amp;";Custom3#"&amp;O916&amp;";Custom4#"&amp;P916&amp;"")</f>
        <v>#Invalid Syntax</v>
      </c>
      <c r="E916" s="216">
        <f>SUMIFS('Investment Analysis'!$H$22:$H$69,'Investment Analysis'!$E$22:$E$69,"Supranational Obligations",'Investment Analysis'!$AB$22:$AB$69,"9")</f>
        <v>0</v>
      </c>
      <c r="F916" s="217" t="s">
        <v>674</v>
      </c>
      <c r="G916" s="217" t="s">
        <v>1069</v>
      </c>
      <c r="H916" s="218" t="e">
        <f t="shared" si="313"/>
        <v>#N/A</v>
      </c>
      <c r="I916" s="218" t="str">
        <f t="shared" si="313"/>
        <v>Jun</v>
      </c>
      <c r="J916" s="217" t="str">
        <f t="shared" si="309"/>
        <v>FY25</v>
      </c>
      <c r="K916" s="217" t="s">
        <v>843</v>
      </c>
      <c r="L916" s="217" t="s">
        <v>844</v>
      </c>
      <c r="M916" s="217" t="s">
        <v>845</v>
      </c>
      <c r="N916" s="217" t="s">
        <v>846</v>
      </c>
      <c r="O916" s="217" t="s">
        <v>596</v>
      </c>
      <c r="P916" s="217" t="s">
        <v>581</v>
      </c>
      <c r="Q916" s="217" t="str">
        <f t="shared" si="314"/>
        <v>FCCS_ClosingBalance_Input</v>
      </c>
      <c r="R916" s="217" t="s">
        <v>169</v>
      </c>
      <c r="S916" s="217" t="s">
        <v>848</v>
      </c>
      <c r="T916" s="217" t="s">
        <v>850</v>
      </c>
    </row>
    <row r="917" spans="2:20" x14ac:dyDescent="0.3">
      <c r="B917" s="214" t="s">
        <v>667</v>
      </c>
      <c r="C917" s="215" t="s">
        <v>407</v>
      </c>
      <c r="D917" s="216" t="str">
        <f>[2]!HsSetValue(E917,"FCC","Scenario#"&amp;R917&amp;";Years#"&amp;J917&amp;";Period#"&amp;I917&amp;";View#"&amp;S917&amp;";Entity#"&amp;H917&amp;";Data Source#"&amp;K917&amp;";Account#"&amp;F917&amp;";Intercompany#"&amp;L917&amp;";Movement#"&amp;Q917&amp;";Consolidation#"&amp;T917&amp;";Custom1#"&amp;M917&amp;";Custom2#"&amp;N917&amp;";Custom3#"&amp;O917&amp;";Custom4#"&amp;P917&amp;"")</f>
        <v>#Invalid Syntax</v>
      </c>
      <c r="E917" s="216">
        <f>SUMIFS('Investment Analysis'!$H$22:$H$69,'Investment Analysis'!$E$22:$E$69,"Supranational Obligations",'Investment Analysis'!$AB$22:$AB$69,"8")</f>
        <v>0</v>
      </c>
      <c r="F917" s="217" t="s">
        <v>674</v>
      </c>
      <c r="G917" s="217" t="s">
        <v>1069</v>
      </c>
      <c r="H917" s="218" t="e">
        <f t="shared" si="313"/>
        <v>#N/A</v>
      </c>
      <c r="I917" s="218" t="str">
        <f t="shared" si="313"/>
        <v>Jun</v>
      </c>
      <c r="J917" s="217" t="str">
        <f t="shared" si="309"/>
        <v>FY25</v>
      </c>
      <c r="K917" s="217" t="s">
        <v>843</v>
      </c>
      <c r="L917" s="217" t="s">
        <v>844</v>
      </c>
      <c r="M917" s="217" t="s">
        <v>845</v>
      </c>
      <c r="N917" s="217" t="s">
        <v>846</v>
      </c>
      <c r="O917" s="217" t="s">
        <v>61</v>
      </c>
      <c r="P917" s="217" t="s">
        <v>581</v>
      </c>
      <c r="Q917" s="217" t="str">
        <f t="shared" si="314"/>
        <v>FCCS_ClosingBalance_Input</v>
      </c>
      <c r="R917" s="217" t="s">
        <v>169</v>
      </c>
      <c r="S917" s="217" t="s">
        <v>848</v>
      </c>
      <c r="T917" s="217" t="s">
        <v>850</v>
      </c>
    </row>
    <row r="918" spans="2:20" x14ac:dyDescent="0.3">
      <c r="B918" s="214" t="s">
        <v>667</v>
      </c>
      <c r="C918" s="215" t="s">
        <v>407</v>
      </c>
      <c r="D918" s="216" t="str">
        <f>[2]!HsSetValue(E918,"FCC","Scenario#"&amp;R918&amp;";Years#"&amp;J918&amp;";Period#"&amp;I918&amp;";View#"&amp;S918&amp;";Entity#"&amp;H918&amp;";Data Source#"&amp;K918&amp;";Account#"&amp;F918&amp;";Intercompany#"&amp;L918&amp;";Movement#"&amp;Q918&amp;";Consolidation#"&amp;T918&amp;";Custom1#"&amp;M918&amp;";Custom2#"&amp;N918&amp;";Custom3#"&amp;O918&amp;";Custom4#"&amp;P918&amp;"")</f>
        <v>#Invalid Syntax</v>
      </c>
      <c r="E918" s="216">
        <f>SUMIFS('Investment Analysis'!$H$22:$H$69,'Investment Analysis'!$E$22:$E$69,"Supranational Obligations",'Investment Analysis'!$AB$22:$AB$69,"7")</f>
        <v>0</v>
      </c>
      <c r="F918" s="217" t="s">
        <v>674</v>
      </c>
      <c r="G918" s="217" t="s">
        <v>1069</v>
      </c>
      <c r="H918" s="218" t="e">
        <f t="shared" si="313"/>
        <v>#N/A</v>
      </c>
      <c r="I918" s="218" t="str">
        <f t="shared" si="313"/>
        <v>Jun</v>
      </c>
      <c r="J918" s="217" t="str">
        <f t="shared" si="309"/>
        <v>FY25</v>
      </c>
      <c r="K918" s="217" t="s">
        <v>843</v>
      </c>
      <c r="L918" s="217" t="s">
        <v>844</v>
      </c>
      <c r="M918" s="217" t="s">
        <v>845</v>
      </c>
      <c r="N918" s="217" t="s">
        <v>846</v>
      </c>
      <c r="O918" s="217" t="s">
        <v>62</v>
      </c>
      <c r="P918" s="217" t="s">
        <v>581</v>
      </c>
      <c r="Q918" s="217" t="str">
        <f t="shared" si="314"/>
        <v>FCCS_ClosingBalance_Input</v>
      </c>
      <c r="R918" s="217" t="s">
        <v>169</v>
      </c>
      <c r="S918" s="217" t="s">
        <v>848</v>
      </c>
      <c r="T918" s="217" t="s">
        <v>850</v>
      </c>
    </row>
    <row r="919" spans="2:20" x14ac:dyDescent="0.3">
      <c r="B919" s="214" t="s">
        <v>667</v>
      </c>
      <c r="C919" s="215" t="s">
        <v>407</v>
      </c>
      <c r="D919" s="216" t="str">
        <f>[2]!HsSetValue(E919,"FCC","Scenario#"&amp;R919&amp;";Years#"&amp;J919&amp;";Period#"&amp;I919&amp;";View#"&amp;S919&amp;";Entity#"&amp;H919&amp;";Data Source#"&amp;K919&amp;";Account#"&amp;F919&amp;";Intercompany#"&amp;L919&amp;";Movement#"&amp;Q919&amp;";Consolidation#"&amp;T919&amp;";Custom1#"&amp;M919&amp;";Custom2#"&amp;N919&amp;";Custom3#"&amp;O919&amp;";Custom4#"&amp;P919&amp;"")</f>
        <v>#Invalid Syntax</v>
      </c>
      <c r="E919" s="216">
        <f>SUMIFS('Investment Analysis'!$H$22:$H$69,'Investment Analysis'!$E$22:$E$69,"Supranational Obligations",'Investment Analysis'!$AB$22:$AB$69,"6")</f>
        <v>0</v>
      </c>
      <c r="F919" s="217" t="s">
        <v>674</v>
      </c>
      <c r="G919" s="217" t="s">
        <v>1069</v>
      </c>
      <c r="H919" s="218" t="e">
        <f t="shared" si="313"/>
        <v>#N/A</v>
      </c>
      <c r="I919" s="218" t="str">
        <f t="shared" si="313"/>
        <v>Jun</v>
      </c>
      <c r="J919" s="217" t="str">
        <f t="shared" si="313"/>
        <v>FY25</v>
      </c>
      <c r="K919" s="217" t="s">
        <v>843</v>
      </c>
      <c r="L919" s="217" t="s">
        <v>844</v>
      </c>
      <c r="M919" s="217" t="s">
        <v>845</v>
      </c>
      <c r="N919" s="217" t="s">
        <v>846</v>
      </c>
      <c r="O919" s="217" t="s">
        <v>436</v>
      </c>
      <c r="P919" s="217" t="s">
        <v>581</v>
      </c>
      <c r="Q919" s="217" t="str">
        <f t="shared" si="314"/>
        <v>FCCS_ClosingBalance_Input</v>
      </c>
      <c r="R919" s="217" t="s">
        <v>169</v>
      </c>
      <c r="S919" s="217" t="s">
        <v>848</v>
      </c>
      <c r="T919" s="217" t="s">
        <v>850</v>
      </c>
    </row>
    <row r="920" spans="2:20" s="371" customFormat="1" x14ac:dyDescent="0.3">
      <c r="B920" s="214" t="s">
        <v>667</v>
      </c>
      <c r="C920" s="215" t="s">
        <v>407</v>
      </c>
      <c r="D920" s="216" t="str">
        <f>[2]!HsSetValue(E920,"FCC","Scenario#"&amp;R920&amp;";Years#"&amp;J920&amp;";Period#"&amp;I920&amp;";View#"&amp;S920&amp;";Entity#"&amp;H920&amp;";Data Source#"&amp;K920&amp;";Account#"&amp;F920&amp;";Intercompany#"&amp;L920&amp;";Movement#"&amp;Q920&amp;";Consolidation#"&amp;T920&amp;";Custom1#"&amp;M920&amp;";Custom2#"&amp;N920&amp;";Custom3#"&amp;O920&amp;";Custom4#"&amp;P920&amp;"")</f>
        <v>#Invalid Syntax</v>
      </c>
      <c r="E920" s="216">
        <f>SUMIFS('Investment Analysis'!$H$22:$H$69,'Investment Analysis'!$E$22:$E$69,"Supranational Obligations",'Investment Analysis'!$AB$22:$AB$69,"5")</f>
        <v>0</v>
      </c>
      <c r="F920" s="217" t="s">
        <v>674</v>
      </c>
      <c r="G920" s="217" t="s">
        <v>1069</v>
      </c>
      <c r="H920" s="218" t="e">
        <f t="shared" si="313"/>
        <v>#N/A</v>
      </c>
      <c r="I920" s="218" t="str">
        <f t="shared" si="313"/>
        <v>Jun</v>
      </c>
      <c r="J920" s="217" t="str">
        <f t="shared" si="313"/>
        <v>FY25</v>
      </c>
      <c r="K920" s="217" t="str">
        <f t="shared" si="313"/>
        <v>FCCS_Other Data</v>
      </c>
      <c r="L920" s="217" t="str">
        <f t="shared" si="313"/>
        <v>FCCS_No Intercompany</v>
      </c>
      <c r="M920" s="217" t="str">
        <f>+M$1</f>
        <v>No Custom1</v>
      </c>
      <c r="N920" s="217" t="str">
        <f t="shared" si="313"/>
        <v>No Custom2</v>
      </c>
      <c r="O920" s="217" t="s">
        <v>434</v>
      </c>
      <c r="P920" s="217" t="s">
        <v>581</v>
      </c>
      <c r="Q920" s="217" t="str">
        <f t="shared" si="314"/>
        <v>FCCS_ClosingBalance_Input</v>
      </c>
      <c r="R920" s="217" t="str">
        <f t="shared" ref="R920:S924" si="315">+R$2</f>
        <v>Actual</v>
      </c>
      <c r="S920" s="217" t="str">
        <f t="shared" si="315"/>
        <v>FCCS_YTD_Input</v>
      </c>
      <c r="T920" s="217" t="s">
        <v>850</v>
      </c>
    </row>
    <row r="921" spans="2:20" s="371" customFormat="1" x14ac:dyDescent="0.3">
      <c r="B921" s="214" t="s">
        <v>667</v>
      </c>
      <c r="C921" s="215" t="s">
        <v>407</v>
      </c>
      <c r="D921" s="216" t="str">
        <f>[2]!HsSetValue(E921,"FCC","Scenario#"&amp;R921&amp;";Years#"&amp;J921&amp;";Period#"&amp;I921&amp;";View#"&amp;S921&amp;";Entity#"&amp;H921&amp;";Data Source#"&amp;K921&amp;";Account#"&amp;F921&amp;";Intercompany#"&amp;L921&amp;";Movement#"&amp;Q921&amp;";Consolidation#"&amp;T921&amp;";Custom1#"&amp;M921&amp;";Custom2#"&amp;N921&amp;";Custom3#"&amp;O921&amp;";Custom4#"&amp;P921&amp;"")</f>
        <v>#Invalid Syntax</v>
      </c>
      <c r="E921" s="216">
        <f>SUMIFS('Investment Analysis'!$H$22:$H$69,'Investment Analysis'!$E$22:$E$69,"Supranational Obligations",'Investment Analysis'!$AB$22:$AB$69,"4")</f>
        <v>0</v>
      </c>
      <c r="F921" s="217" t="s">
        <v>674</v>
      </c>
      <c r="G921" s="217" t="s">
        <v>1069</v>
      </c>
      <c r="H921" s="218" t="e">
        <f t="shared" si="313"/>
        <v>#N/A</v>
      </c>
      <c r="I921" s="218" t="str">
        <f t="shared" si="313"/>
        <v>Jun</v>
      </c>
      <c r="J921" s="217" t="str">
        <f t="shared" si="313"/>
        <v>FY25</v>
      </c>
      <c r="K921" s="217" t="str">
        <f t="shared" si="313"/>
        <v>FCCS_Other Data</v>
      </c>
      <c r="L921" s="217" t="str">
        <f t="shared" si="313"/>
        <v>FCCS_No Intercompany</v>
      </c>
      <c r="M921" s="217" t="str">
        <f>+M$1</f>
        <v>No Custom1</v>
      </c>
      <c r="N921" s="217" t="str">
        <f t="shared" si="313"/>
        <v>No Custom2</v>
      </c>
      <c r="O921" s="217" t="s">
        <v>63</v>
      </c>
      <c r="P921" s="217" t="s">
        <v>581</v>
      </c>
      <c r="Q921" s="217" t="str">
        <f t="shared" si="314"/>
        <v>FCCS_ClosingBalance_Input</v>
      </c>
      <c r="R921" s="217" t="str">
        <f t="shared" si="315"/>
        <v>Actual</v>
      </c>
      <c r="S921" s="217" t="str">
        <f t="shared" si="315"/>
        <v>FCCS_YTD_Input</v>
      </c>
      <c r="T921" s="217" t="s">
        <v>850</v>
      </c>
    </row>
    <row r="922" spans="2:20" s="371" customFormat="1" x14ac:dyDescent="0.3">
      <c r="B922" s="214" t="s">
        <v>667</v>
      </c>
      <c r="C922" s="215" t="s">
        <v>407</v>
      </c>
      <c r="D922" s="216" t="str">
        <f>[2]!HsSetValue(E922,"FCC","Scenario#"&amp;R922&amp;";Years#"&amp;J922&amp;";Period#"&amp;I922&amp;";View#"&amp;S922&amp;";Entity#"&amp;H922&amp;";Data Source#"&amp;K922&amp;";Account#"&amp;F922&amp;";Intercompany#"&amp;L922&amp;";Movement#"&amp;Q922&amp;";Consolidation#"&amp;T922&amp;";Custom1#"&amp;M922&amp;";Custom2#"&amp;N922&amp;";Custom3#"&amp;O922&amp;";Custom4#"&amp;P922&amp;"")</f>
        <v>#Invalid Syntax</v>
      </c>
      <c r="E922" s="216">
        <f>SUMIFS('Investment Analysis'!$H$22:$H$69,'Investment Analysis'!$E$22:$E$69,"Supranational Obligations",'Investment Analysis'!$AB$22:$AB$69,"3")</f>
        <v>0</v>
      </c>
      <c r="F922" s="217" t="s">
        <v>674</v>
      </c>
      <c r="G922" s="217" t="s">
        <v>1069</v>
      </c>
      <c r="H922" s="218" t="e">
        <f t="shared" si="313"/>
        <v>#N/A</v>
      </c>
      <c r="I922" s="218" t="str">
        <f t="shared" si="313"/>
        <v>Jun</v>
      </c>
      <c r="J922" s="217" t="str">
        <f t="shared" si="313"/>
        <v>FY25</v>
      </c>
      <c r="K922" s="217" t="str">
        <f t="shared" si="313"/>
        <v>FCCS_Other Data</v>
      </c>
      <c r="L922" s="217" t="str">
        <f t="shared" si="313"/>
        <v>FCCS_No Intercompany</v>
      </c>
      <c r="M922" s="217" t="str">
        <f>+M$1</f>
        <v>No Custom1</v>
      </c>
      <c r="N922" s="217" t="str">
        <f t="shared" si="313"/>
        <v>No Custom2</v>
      </c>
      <c r="O922" s="217" t="s">
        <v>622</v>
      </c>
      <c r="P922" s="217" t="s">
        <v>581</v>
      </c>
      <c r="Q922" s="217" t="str">
        <f t="shared" si="314"/>
        <v>FCCS_ClosingBalance_Input</v>
      </c>
      <c r="R922" s="217" t="str">
        <f t="shared" si="315"/>
        <v>Actual</v>
      </c>
      <c r="S922" s="217" t="str">
        <f t="shared" si="315"/>
        <v>FCCS_YTD_Input</v>
      </c>
      <c r="T922" s="217" t="s">
        <v>850</v>
      </c>
    </row>
    <row r="923" spans="2:20" s="371" customFormat="1" x14ac:dyDescent="0.3">
      <c r="B923" s="214" t="s">
        <v>667</v>
      </c>
      <c r="C923" s="215" t="s">
        <v>407</v>
      </c>
      <c r="D923" s="216" t="str">
        <f>[2]!HsSetValue(E923,"FCC","Scenario#"&amp;R923&amp;";Years#"&amp;J923&amp;";Period#"&amp;I923&amp;";View#"&amp;S923&amp;";Entity#"&amp;H923&amp;";Data Source#"&amp;K923&amp;";Account#"&amp;F923&amp;";Intercompany#"&amp;L923&amp;";Movement#"&amp;Q923&amp;";Consolidation#"&amp;T923&amp;";Custom1#"&amp;M923&amp;";Custom2#"&amp;N923&amp;";Custom3#"&amp;O923&amp;";Custom4#"&amp;P923&amp;"")</f>
        <v>#Invalid Syntax</v>
      </c>
      <c r="E923" s="216">
        <f>SUMIFS('Investment Analysis'!$H$22:$H$69,'Investment Analysis'!$E$22:$E$69,"Supranational Obligations",'Investment Analysis'!$AB$22:$AB$69,"2")</f>
        <v>0</v>
      </c>
      <c r="F923" s="217" t="s">
        <v>674</v>
      </c>
      <c r="G923" s="217" t="s">
        <v>1069</v>
      </c>
      <c r="H923" s="218" t="e">
        <f t="shared" si="313"/>
        <v>#N/A</v>
      </c>
      <c r="I923" s="218" t="str">
        <f t="shared" si="313"/>
        <v>Jun</v>
      </c>
      <c r="J923" s="217" t="str">
        <f t="shared" si="313"/>
        <v>FY25</v>
      </c>
      <c r="K923" s="217" t="str">
        <f t="shared" si="313"/>
        <v>FCCS_Other Data</v>
      </c>
      <c r="L923" s="217" t="str">
        <f t="shared" si="313"/>
        <v>FCCS_No Intercompany</v>
      </c>
      <c r="M923" s="217" t="str">
        <f>+M$1</f>
        <v>No Custom1</v>
      </c>
      <c r="N923" s="217" t="str">
        <f t="shared" si="313"/>
        <v>No Custom2</v>
      </c>
      <c r="O923" s="217" t="s">
        <v>618</v>
      </c>
      <c r="P923" s="217" t="s">
        <v>581</v>
      </c>
      <c r="Q923" s="217" t="str">
        <f t="shared" si="314"/>
        <v>FCCS_ClosingBalance_Input</v>
      </c>
      <c r="R923" s="217" t="str">
        <f t="shared" si="315"/>
        <v>Actual</v>
      </c>
      <c r="S923" s="217" t="str">
        <f t="shared" si="315"/>
        <v>FCCS_YTD_Input</v>
      </c>
      <c r="T923" s="217" t="s">
        <v>850</v>
      </c>
    </row>
    <row r="924" spans="2:20" s="371" customFormat="1" x14ac:dyDescent="0.3">
      <c r="B924" s="214" t="s">
        <v>667</v>
      </c>
      <c r="C924" s="215" t="s">
        <v>407</v>
      </c>
      <c r="D924" s="216" t="str">
        <f>[2]!HsSetValue(E924,"FCC","Scenario#"&amp;R924&amp;";Years#"&amp;J924&amp;";Period#"&amp;I924&amp;";View#"&amp;S924&amp;";Entity#"&amp;H924&amp;";Data Source#"&amp;K924&amp;";Account#"&amp;F924&amp;";Intercompany#"&amp;L924&amp;";Movement#"&amp;Q924&amp;";Consolidation#"&amp;T924&amp;";Custom1#"&amp;M924&amp;";Custom2#"&amp;N924&amp;";Custom3#"&amp;O924&amp;";Custom4#"&amp;P924&amp;"")</f>
        <v>#Invalid Syntax</v>
      </c>
      <c r="E924" s="216">
        <f>SUMIFS('Investment Analysis'!$H$22:$H$69,'Investment Analysis'!$E$22:$E$69,"Supranational Obligations",'Investment Analysis'!$AB$22:$AB$69,"1")</f>
        <v>0</v>
      </c>
      <c r="F924" s="217" t="s">
        <v>674</v>
      </c>
      <c r="G924" s="217" t="s">
        <v>1069</v>
      </c>
      <c r="H924" s="218" t="e">
        <f t="shared" si="313"/>
        <v>#N/A</v>
      </c>
      <c r="I924" s="218" t="str">
        <f t="shared" si="313"/>
        <v>Jun</v>
      </c>
      <c r="J924" s="217" t="str">
        <f t="shared" si="313"/>
        <v>FY25</v>
      </c>
      <c r="K924" s="217" t="str">
        <f t="shared" si="313"/>
        <v>FCCS_Other Data</v>
      </c>
      <c r="L924" s="217" t="str">
        <f t="shared" si="313"/>
        <v>FCCS_No Intercompany</v>
      </c>
      <c r="M924" s="217" t="str">
        <f>+M$1</f>
        <v>No Custom1</v>
      </c>
      <c r="N924" s="217" t="str">
        <f t="shared" si="313"/>
        <v>No Custom2</v>
      </c>
      <c r="O924" s="217" t="s">
        <v>64</v>
      </c>
      <c r="P924" s="217" t="s">
        <v>581</v>
      </c>
      <c r="Q924" s="217" t="str">
        <f t="shared" si="314"/>
        <v>FCCS_ClosingBalance_Input</v>
      </c>
      <c r="R924" s="217" t="str">
        <f t="shared" si="315"/>
        <v>Actual</v>
      </c>
      <c r="S924" s="217" t="str">
        <f t="shared" si="315"/>
        <v>FCCS_YTD_Input</v>
      </c>
      <c r="T924" s="217" t="s">
        <v>850</v>
      </c>
    </row>
    <row r="925" spans="2:20" x14ac:dyDescent="0.3">
      <c r="B925" s="214" t="s">
        <v>667</v>
      </c>
      <c r="C925" s="215" t="s">
        <v>407</v>
      </c>
      <c r="D925" s="216" t="str">
        <f>[2]!HsSetValue(E925,"FCC","Scenario#"&amp;R925&amp;";Years#"&amp;J925&amp;";Period#"&amp;I925&amp;";View#"&amp;S925&amp;";Entity#"&amp;H925&amp;";Data Source#"&amp;K925&amp;";Account#"&amp;F925&amp;";Intercompany#"&amp;L925&amp;";Movement#"&amp;Q925&amp;";Consolidation#"&amp;T925&amp;";Custom1#"&amp;M925&amp;";Custom2#"&amp;N925&amp;";Custom3#"&amp;O925&amp;";Custom4#"&amp;P925&amp;"")</f>
        <v>#Invalid Syntax</v>
      </c>
      <c r="E925" s="216">
        <f>SUMIFS('Investment Analysis'!$H$22:$H$69,'Investment Analysis'!$E$22:$E$69,"Supranational Obligations",'Investment Analysis'!$AI$22:$AI$69,"16")</f>
        <v>0</v>
      </c>
      <c r="F925" s="217" t="s">
        <v>674</v>
      </c>
      <c r="G925" s="217" t="s">
        <v>1069</v>
      </c>
      <c r="H925" s="218" t="e">
        <f t="shared" si="313"/>
        <v>#N/A</v>
      </c>
      <c r="I925" s="218" t="str">
        <f t="shared" si="313"/>
        <v>Jun</v>
      </c>
      <c r="J925" s="217" t="str">
        <f t="shared" si="313"/>
        <v>FY25</v>
      </c>
      <c r="K925" s="217" t="s">
        <v>843</v>
      </c>
      <c r="L925" s="217" t="s">
        <v>844</v>
      </c>
      <c r="M925" s="217" t="s">
        <v>845</v>
      </c>
      <c r="N925" s="217" t="s">
        <v>846</v>
      </c>
      <c r="O925" s="217" t="s">
        <v>726</v>
      </c>
      <c r="P925" s="217" t="s">
        <v>581</v>
      </c>
      <c r="Q925" s="217" t="str">
        <f t="shared" si="314"/>
        <v>FCCS_ClosingBalance_Input</v>
      </c>
      <c r="R925" s="217" t="s">
        <v>169</v>
      </c>
      <c r="S925" s="217" t="s">
        <v>848</v>
      </c>
      <c r="T925" s="217" t="s">
        <v>850</v>
      </c>
    </row>
    <row r="926" spans="2:20" x14ac:dyDescent="0.3">
      <c r="B926" s="214" t="s">
        <v>667</v>
      </c>
      <c r="C926" s="215" t="s">
        <v>407</v>
      </c>
      <c r="D926" s="216" t="str">
        <f>[2]!HsSetValue(E926,"FCC","Scenario#"&amp;R926&amp;";Years#"&amp;J926&amp;";Period#"&amp;I926&amp;";View#"&amp;S926&amp;";Entity#"&amp;H926&amp;";Data Source#"&amp;K926&amp;";Account#"&amp;F926&amp;";Intercompany#"&amp;L926&amp;";Movement#"&amp;Q926&amp;";Consolidation#"&amp;T926&amp;";Custom1#"&amp;M926&amp;";Custom2#"&amp;N926&amp;";Custom3#"&amp;O926&amp;";Custom4#"&amp;P926&amp;"")</f>
        <v>#Invalid Syntax</v>
      </c>
      <c r="E926" s="216">
        <f>SUMIFS('Investment Analysis'!$H$22:$H$69,'Investment Analysis'!$E$22:$E$69,"Supranational Obligations",'Investment Analysis'!$AI$22:$AI$69,"15")</f>
        <v>0</v>
      </c>
      <c r="F926" s="217" t="s">
        <v>674</v>
      </c>
      <c r="G926" s="217" t="s">
        <v>1069</v>
      </c>
      <c r="H926" s="218" t="e">
        <f t="shared" si="313"/>
        <v>#N/A</v>
      </c>
      <c r="I926" s="218" t="str">
        <f t="shared" si="313"/>
        <v>Jun</v>
      </c>
      <c r="J926" s="217" t="str">
        <f t="shared" si="313"/>
        <v>FY25</v>
      </c>
      <c r="K926" s="217" t="s">
        <v>843</v>
      </c>
      <c r="L926" s="217" t="s">
        <v>844</v>
      </c>
      <c r="M926" s="217" t="s">
        <v>845</v>
      </c>
      <c r="N926" s="217" t="s">
        <v>846</v>
      </c>
      <c r="O926" s="217" t="s">
        <v>727</v>
      </c>
      <c r="P926" s="217" t="s">
        <v>581</v>
      </c>
      <c r="Q926" s="217" t="str">
        <f t="shared" si="314"/>
        <v>FCCS_ClosingBalance_Input</v>
      </c>
      <c r="R926" s="217" t="s">
        <v>169</v>
      </c>
      <c r="S926" s="217" t="s">
        <v>848</v>
      </c>
      <c r="T926" s="217" t="s">
        <v>850</v>
      </c>
    </row>
    <row r="927" spans="2:20" x14ac:dyDescent="0.3">
      <c r="B927" s="214" t="s">
        <v>667</v>
      </c>
      <c r="C927" s="215" t="s">
        <v>407</v>
      </c>
      <c r="D927" s="216" t="str">
        <f>[2]!HsSetValue(E927,"FCC","Scenario#"&amp;R927&amp;";Years#"&amp;J927&amp;";Period#"&amp;I927&amp;";View#"&amp;S927&amp;";Entity#"&amp;H927&amp;";Data Source#"&amp;K927&amp;";Account#"&amp;F927&amp;";Intercompany#"&amp;L927&amp;";Movement#"&amp;Q927&amp;";Consolidation#"&amp;T927&amp;";Custom1#"&amp;M927&amp;";Custom2#"&amp;N927&amp;";Custom3#"&amp;O927&amp;";Custom4#"&amp;P927&amp;"")</f>
        <v>#Invalid Syntax</v>
      </c>
      <c r="E927" s="216">
        <f>SUMIFS('Investment Analysis'!$H$22:$H$69,'Investment Analysis'!$E$22:$E$69,"Supranational Obligations",'Investment Analysis'!$AI$22:$AI$69,"14")</f>
        <v>0</v>
      </c>
      <c r="F927" s="217" t="s">
        <v>674</v>
      </c>
      <c r="G927" s="217" t="s">
        <v>1069</v>
      </c>
      <c r="H927" s="218" t="e">
        <f t="shared" si="313"/>
        <v>#N/A</v>
      </c>
      <c r="I927" s="218" t="str">
        <f t="shared" si="313"/>
        <v>Jun</v>
      </c>
      <c r="J927" s="217" t="str">
        <f t="shared" si="313"/>
        <v>FY25</v>
      </c>
      <c r="K927" s="217" t="s">
        <v>843</v>
      </c>
      <c r="L927" s="217" t="s">
        <v>844</v>
      </c>
      <c r="M927" s="217" t="s">
        <v>845</v>
      </c>
      <c r="N927" s="217" t="s">
        <v>846</v>
      </c>
      <c r="O927" s="217" t="s">
        <v>728</v>
      </c>
      <c r="P927" s="217" t="s">
        <v>581</v>
      </c>
      <c r="Q927" s="217" t="str">
        <f t="shared" si="314"/>
        <v>FCCS_ClosingBalance_Input</v>
      </c>
      <c r="R927" s="217" t="s">
        <v>169</v>
      </c>
      <c r="S927" s="217" t="s">
        <v>848</v>
      </c>
      <c r="T927" s="217" t="s">
        <v>850</v>
      </c>
    </row>
    <row r="928" spans="2:20" x14ac:dyDescent="0.3">
      <c r="B928" s="214" t="s">
        <v>667</v>
      </c>
      <c r="C928" s="215" t="s">
        <v>407</v>
      </c>
      <c r="D928" s="216" t="str">
        <f>[2]!HsSetValue(E928,"FCC","Scenario#"&amp;R928&amp;";Years#"&amp;J928&amp;";Period#"&amp;I928&amp;";View#"&amp;S928&amp;";Entity#"&amp;H928&amp;";Data Source#"&amp;K928&amp;";Account#"&amp;F928&amp;";Intercompany#"&amp;L928&amp;";Movement#"&amp;Q928&amp;";Consolidation#"&amp;T928&amp;";Custom1#"&amp;M928&amp;";Custom2#"&amp;N928&amp;";Custom3#"&amp;O928&amp;";Custom4#"&amp;P928&amp;"")</f>
        <v>#Invalid Syntax</v>
      </c>
      <c r="E928" s="216">
        <f>SUMIFS('Investment Analysis'!$H$22:$H$69,'Investment Analysis'!$E$22:$E$69,"Supranational Obligations",'Investment Analysis'!$AB$22:$AB$69,"0")+SUMIFS('Investment Analysis'!$H$22:$H$69,'Investment Analysis'!$E$22:$E$69,"Supranational Obligations",'Investment Analysis'!$AI$22:$AI$69,"0")</f>
        <v>0</v>
      </c>
      <c r="F928" s="217" t="s">
        <v>674</v>
      </c>
      <c r="G928" s="217" t="s">
        <v>1069</v>
      </c>
      <c r="H928" s="218" t="e">
        <f t="shared" si="313"/>
        <v>#N/A</v>
      </c>
      <c r="I928" s="218" t="str">
        <f t="shared" si="313"/>
        <v>Jun</v>
      </c>
      <c r="J928" s="217" t="str">
        <f t="shared" si="313"/>
        <v>FY25</v>
      </c>
      <c r="K928" s="217" t="s">
        <v>843</v>
      </c>
      <c r="L928" s="217" t="s">
        <v>844</v>
      </c>
      <c r="M928" s="217" t="s">
        <v>845</v>
      </c>
      <c r="N928" s="217" t="s">
        <v>846</v>
      </c>
      <c r="O928" s="217" t="s">
        <v>609</v>
      </c>
      <c r="P928" s="217" t="s">
        <v>581</v>
      </c>
      <c r="Q928" s="217" t="str">
        <f t="shared" si="314"/>
        <v>FCCS_ClosingBalance_Input</v>
      </c>
      <c r="R928" s="217" t="s">
        <v>169</v>
      </c>
      <c r="S928" s="217" t="s">
        <v>848</v>
      </c>
      <c r="T928" s="217" t="s">
        <v>850</v>
      </c>
    </row>
    <row r="930" spans="2:20" x14ac:dyDescent="0.3">
      <c r="B930" s="219" t="s">
        <v>1014</v>
      </c>
      <c r="C930" s="220" t="s">
        <v>407</v>
      </c>
      <c r="D930" s="221" t="str">
        <f>[2]!HsSetValue(E930,"FCC","Scenario#"&amp;R930&amp;";Years#"&amp;J930&amp;";Period#"&amp;I930&amp;";View#"&amp;S930&amp;";Entity#"&amp;H930&amp;";Data Source#"&amp;K930&amp;";Account#"&amp;F930&amp;";Intercompany#"&amp;L930&amp;";Movement#"&amp;Q930&amp;";Consolidation#"&amp;T930&amp;";Custom1#"&amp;M930&amp;";Custom2#"&amp;N930&amp;";Custom3#"&amp;O930&amp;";Custom4#"&amp;P930&amp;"")</f>
        <v>#Invalid Syntax</v>
      </c>
      <c r="E930" s="221">
        <f>SUMIFS('Investment Analysis'!$H$22:$H$69,'Investment Analysis'!$E$22:$E$69,"Supranational Obligations",'Investment Analysis'!$AK$22:$AK$69,"21")</f>
        <v>0</v>
      </c>
      <c r="F930" s="222" t="s">
        <v>675</v>
      </c>
      <c r="G930" s="222" t="s">
        <v>1041</v>
      </c>
      <c r="H930" s="223" t="e">
        <f>+H$2</f>
        <v>#N/A</v>
      </c>
      <c r="I930" s="223" t="str">
        <f t="shared" ref="I930:J945" si="316">+I$2</f>
        <v>Jun</v>
      </c>
      <c r="J930" s="222" t="str">
        <f t="shared" si="313"/>
        <v>FY25</v>
      </c>
      <c r="K930" s="222" t="s">
        <v>843</v>
      </c>
      <c r="L930" s="222" t="s">
        <v>844</v>
      </c>
      <c r="M930" s="222" t="s">
        <v>845</v>
      </c>
      <c r="N930" s="222" t="s">
        <v>846</v>
      </c>
      <c r="O930" s="222" t="s">
        <v>729</v>
      </c>
      <c r="P930" s="222" t="s">
        <v>581</v>
      </c>
      <c r="Q930" s="222" t="str">
        <f t="shared" ref="Q930:Q934" si="317">Q$2</f>
        <v>FCCS_ClosingBalance_Input</v>
      </c>
      <c r="R930" s="222" t="s">
        <v>169</v>
      </c>
      <c r="S930" s="222" t="s">
        <v>848</v>
      </c>
      <c r="T930" s="222" t="s">
        <v>850</v>
      </c>
    </row>
    <row r="931" spans="2:20" x14ac:dyDescent="0.3">
      <c r="B931" s="219" t="s">
        <v>1014</v>
      </c>
      <c r="C931" s="220" t="s">
        <v>407</v>
      </c>
      <c r="D931" s="221" t="str">
        <f>[2]!HsSetValue(E931,"FCC","Scenario#"&amp;R931&amp;";Years#"&amp;J931&amp;";Period#"&amp;I931&amp;";View#"&amp;S931&amp;";Entity#"&amp;H931&amp;";Data Source#"&amp;K931&amp;";Account#"&amp;F931&amp;";Intercompany#"&amp;L931&amp;";Movement#"&amp;Q931&amp;";Consolidation#"&amp;T931&amp;";Custom1#"&amp;M931&amp;";Custom2#"&amp;N931&amp;";Custom3#"&amp;O931&amp;";Custom4#"&amp;P931&amp;"")</f>
        <v>#Invalid Syntax</v>
      </c>
      <c r="E931" s="221">
        <f>SUMIFS('Investment Analysis'!$H$22:$H$69,'Investment Analysis'!$E$22:$E$69,"Supranational Obligations",'Investment Analysis'!$AK$22:$AK$69,"22")</f>
        <v>0</v>
      </c>
      <c r="F931" s="222" t="s">
        <v>675</v>
      </c>
      <c r="G931" s="222" t="s">
        <v>1041</v>
      </c>
      <c r="H931" s="223" t="e">
        <f>+H$2</f>
        <v>#N/A</v>
      </c>
      <c r="I931" s="223" t="str">
        <f t="shared" si="316"/>
        <v>Jun</v>
      </c>
      <c r="J931" s="222" t="str">
        <f t="shared" si="316"/>
        <v>FY25</v>
      </c>
      <c r="K931" s="222" t="s">
        <v>843</v>
      </c>
      <c r="L931" s="222" t="s">
        <v>844</v>
      </c>
      <c r="M931" s="222" t="s">
        <v>845</v>
      </c>
      <c r="N931" s="222" t="s">
        <v>846</v>
      </c>
      <c r="O931" s="222" t="s">
        <v>730</v>
      </c>
      <c r="P931" s="222" t="s">
        <v>581</v>
      </c>
      <c r="Q931" s="222" t="str">
        <f t="shared" si="317"/>
        <v>FCCS_ClosingBalance_Input</v>
      </c>
      <c r="R931" s="222" t="s">
        <v>169</v>
      </c>
      <c r="S931" s="222" t="s">
        <v>848</v>
      </c>
      <c r="T931" s="222" t="s">
        <v>850</v>
      </c>
    </row>
    <row r="932" spans="2:20" x14ac:dyDescent="0.3">
      <c r="B932" s="219" t="s">
        <v>1014</v>
      </c>
      <c r="C932" s="220" t="s">
        <v>407</v>
      </c>
      <c r="D932" s="221" t="str">
        <f>[2]!HsSetValue(E932,"FCC","Scenario#"&amp;R932&amp;";Years#"&amp;J932&amp;";Period#"&amp;I932&amp;";View#"&amp;S932&amp;";Entity#"&amp;H932&amp;";Data Source#"&amp;K932&amp;";Account#"&amp;F932&amp;";Intercompany#"&amp;L932&amp;";Movement#"&amp;Q932&amp;";Consolidation#"&amp;T932&amp;";Custom1#"&amp;M932&amp;";Custom2#"&amp;N932&amp;";Custom3#"&amp;O932&amp;";Custom4#"&amp;P932&amp;"")</f>
        <v>#Invalid Syntax</v>
      </c>
      <c r="E932" s="221">
        <f>SUMIFS('Investment Analysis'!$H$22:$H$69,'Investment Analysis'!$E$22:$E$69,"Supranational Obligations",'Investment Analysis'!$AK$22:$AK$69,"23")</f>
        <v>0</v>
      </c>
      <c r="F932" s="222" t="s">
        <v>675</v>
      </c>
      <c r="G932" s="222" t="s">
        <v>1041</v>
      </c>
      <c r="H932" s="223" t="e">
        <f>+H$2</f>
        <v>#N/A</v>
      </c>
      <c r="I932" s="223" t="str">
        <f t="shared" si="316"/>
        <v>Jun</v>
      </c>
      <c r="J932" s="222" t="str">
        <f t="shared" si="316"/>
        <v>FY25</v>
      </c>
      <c r="K932" s="222" t="s">
        <v>843</v>
      </c>
      <c r="L932" s="222" t="s">
        <v>844</v>
      </c>
      <c r="M932" s="222" t="s">
        <v>845</v>
      </c>
      <c r="N932" s="222" t="s">
        <v>846</v>
      </c>
      <c r="O932" s="222" t="s">
        <v>731</v>
      </c>
      <c r="P932" s="222" t="s">
        <v>581</v>
      </c>
      <c r="Q932" s="222" t="str">
        <f t="shared" si="317"/>
        <v>FCCS_ClosingBalance_Input</v>
      </c>
      <c r="R932" s="222" t="s">
        <v>169</v>
      </c>
      <c r="S932" s="222" t="s">
        <v>848</v>
      </c>
      <c r="T932" s="222" t="s">
        <v>850</v>
      </c>
    </row>
    <row r="933" spans="2:20" x14ac:dyDescent="0.3">
      <c r="B933" s="219" t="s">
        <v>1014</v>
      </c>
      <c r="C933" s="220" t="s">
        <v>407</v>
      </c>
      <c r="D933" s="221" t="str">
        <f>[2]!HsSetValue(E933,"FCC","Scenario#"&amp;R933&amp;";Years#"&amp;J933&amp;";Period#"&amp;I933&amp;";View#"&amp;S933&amp;";Entity#"&amp;H933&amp;";Data Source#"&amp;K933&amp;";Account#"&amp;F933&amp;";Intercompany#"&amp;L933&amp;";Movement#"&amp;Q933&amp;";Consolidation#"&amp;T933&amp;";Custom1#"&amp;M933&amp;";Custom2#"&amp;N933&amp;";Custom3#"&amp;O933&amp;";Custom4#"&amp;P933&amp;"")</f>
        <v>#Invalid Syntax</v>
      </c>
      <c r="E933" s="221">
        <f>SUMIFS('Investment Analysis'!$H$22:$H$69,'Investment Analysis'!$E$22:$E$69,"Supranational Obligations",'Investment Analysis'!$AK$22:$AK$69,"24")</f>
        <v>0</v>
      </c>
      <c r="F933" s="222" t="s">
        <v>675</v>
      </c>
      <c r="G933" s="222" t="s">
        <v>1041</v>
      </c>
      <c r="H933" s="223" t="e">
        <f>+H$2</f>
        <v>#N/A</v>
      </c>
      <c r="I933" s="223" t="str">
        <f t="shared" si="316"/>
        <v>Jun</v>
      </c>
      <c r="J933" s="222" t="str">
        <f t="shared" si="316"/>
        <v>FY25</v>
      </c>
      <c r="K933" s="222" t="s">
        <v>843</v>
      </c>
      <c r="L933" s="222" t="s">
        <v>844</v>
      </c>
      <c r="M933" s="222" t="s">
        <v>845</v>
      </c>
      <c r="N933" s="222" t="s">
        <v>846</v>
      </c>
      <c r="O933" s="222" t="s">
        <v>732</v>
      </c>
      <c r="P933" s="222" t="s">
        <v>581</v>
      </c>
      <c r="Q933" s="222" t="str">
        <f t="shared" si="317"/>
        <v>FCCS_ClosingBalance_Input</v>
      </c>
      <c r="R933" s="222" t="s">
        <v>169</v>
      </c>
      <c r="S933" s="222" t="s">
        <v>848</v>
      </c>
      <c r="T933" s="222" t="s">
        <v>850</v>
      </c>
    </row>
    <row r="934" spans="2:20" x14ac:dyDescent="0.3">
      <c r="B934" s="219" t="s">
        <v>1014</v>
      </c>
      <c r="C934" s="220" t="s">
        <v>407</v>
      </c>
      <c r="D934" s="221" t="str">
        <f>[2]!HsSetValue(E934,"FCC","Scenario#"&amp;R934&amp;";Years#"&amp;J934&amp;";Period#"&amp;I934&amp;";View#"&amp;S934&amp;";Entity#"&amp;H934&amp;";Data Source#"&amp;K934&amp;";Account#"&amp;F934&amp;";Intercompany#"&amp;L934&amp;";Movement#"&amp;Q934&amp;";Consolidation#"&amp;T934&amp;";Custom1#"&amp;M934&amp;";Custom2#"&amp;N934&amp;";Custom3#"&amp;O934&amp;";Custom4#"&amp;P934&amp;"")</f>
        <v>#Invalid Syntax</v>
      </c>
      <c r="E934" s="221">
        <f>SUMIFS('Investment Analysis'!$H$22:$H$69,'Investment Analysis'!$E$22:$E$69,"Supranational Obligations",'Investment Analysis'!$AK$22:$AK$69,"25")</f>
        <v>0</v>
      </c>
      <c r="F934" s="222" t="s">
        <v>675</v>
      </c>
      <c r="G934" s="222" t="s">
        <v>1041</v>
      </c>
      <c r="H934" s="223" t="e">
        <f>+H$2</f>
        <v>#N/A</v>
      </c>
      <c r="I934" s="223" t="str">
        <f t="shared" si="316"/>
        <v>Jun</v>
      </c>
      <c r="J934" s="222" t="str">
        <f t="shared" si="316"/>
        <v>FY25</v>
      </c>
      <c r="K934" s="222" t="s">
        <v>843</v>
      </c>
      <c r="L934" s="222" t="s">
        <v>844</v>
      </c>
      <c r="M934" s="222" t="s">
        <v>845</v>
      </c>
      <c r="N934" s="222" t="s">
        <v>846</v>
      </c>
      <c r="O934" s="222" t="s">
        <v>733</v>
      </c>
      <c r="P934" s="222" t="s">
        <v>581</v>
      </c>
      <c r="Q934" s="222" t="str">
        <f t="shared" si="317"/>
        <v>FCCS_ClosingBalance_Input</v>
      </c>
      <c r="R934" s="222" t="s">
        <v>169</v>
      </c>
      <c r="S934" s="222" t="s">
        <v>848</v>
      </c>
      <c r="T934" s="222" t="s">
        <v>850</v>
      </c>
    </row>
    <row r="935" spans="2:20" outlineLevel="1" x14ac:dyDescent="0.3">
      <c r="B935" s="210"/>
      <c r="C935" s="210"/>
      <c r="D935" s="212"/>
      <c r="E935" s="212"/>
    </row>
    <row r="936" spans="2:20" x14ac:dyDescent="0.3">
      <c r="B936" s="364" t="s">
        <v>668</v>
      </c>
      <c r="C936" s="365" t="s">
        <v>922</v>
      </c>
      <c r="D936" s="366" t="str">
        <f>[2]!HsSetValue(E936,"FCC","Scenario#"&amp;R936&amp;";Years#"&amp;J936&amp;";Period#"&amp;I936&amp;";View#"&amp;S936&amp;";Entity#"&amp;H936&amp;";Data Source#"&amp;K936&amp;";Account#"&amp;F936&amp;";Intercompany#"&amp;L936&amp;";Movement#"&amp;Q936&amp;";Consolidation#"&amp;T936&amp;";Custom1#"&amp;M936&amp;";Custom2#"&amp;N936&amp;";Custom3#"&amp;O936&amp;";Custom4#"&amp;P936&amp;"")</f>
        <v>#Invalid Syntax</v>
      </c>
      <c r="E936" s="366">
        <f>SUMIF('Investment Analysis'!$E$22:$E$69,'FCC Investments - Load Tab'!C936,'Investment Analysis'!$K$22:$K$69)</f>
        <v>0</v>
      </c>
      <c r="F936" s="367" t="s">
        <v>673</v>
      </c>
      <c r="G936" s="367" t="s">
        <v>963</v>
      </c>
      <c r="H936" s="368" t="e">
        <f>+H$2</f>
        <v>#N/A</v>
      </c>
      <c r="I936" s="368" t="str">
        <f t="shared" ref="I936:I940" si="318">+I$2</f>
        <v>Jun</v>
      </c>
      <c r="J936" s="367" t="str">
        <f t="shared" si="316"/>
        <v>FY25</v>
      </c>
      <c r="K936" s="367" t="s">
        <v>843</v>
      </c>
      <c r="L936" s="367" t="s">
        <v>844</v>
      </c>
      <c r="M936" s="367" t="s">
        <v>845</v>
      </c>
      <c r="N936" s="367" t="s">
        <v>846</v>
      </c>
      <c r="O936" s="367" t="s">
        <v>721</v>
      </c>
      <c r="P936" s="367" t="s">
        <v>582</v>
      </c>
      <c r="Q936" s="367" t="str">
        <f t="shared" ref="Q936:Q940" si="319">Q$2</f>
        <v>FCCS_ClosingBalance_Input</v>
      </c>
      <c r="R936" s="367" t="s">
        <v>169</v>
      </c>
      <c r="S936" s="367" t="s">
        <v>848</v>
      </c>
      <c r="T936" s="367" t="s">
        <v>850</v>
      </c>
    </row>
    <row r="937" spans="2:20" x14ac:dyDescent="0.3">
      <c r="B937" s="364" t="s">
        <v>668</v>
      </c>
      <c r="C937" s="365" t="s">
        <v>922</v>
      </c>
      <c r="D937" s="366" t="str">
        <f>[2]!HsSetValue(E937,"FCC","Scenario#"&amp;R937&amp;";Years#"&amp;J937&amp;";Period#"&amp;I937&amp;";View#"&amp;S937&amp;";Entity#"&amp;H937&amp;";Data Source#"&amp;K937&amp;";Account#"&amp;F937&amp;";Intercompany#"&amp;L937&amp;";Movement#"&amp;Q937&amp;";Consolidation#"&amp;T937&amp;";Custom1#"&amp;M937&amp;";Custom2#"&amp;N937&amp;";Custom3#"&amp;O937&amp;";Custom4#"&amp;P937&amp;"")</f>
        <v>#Invalid Syntax</v>
      </c>
      <c r="E937" s="366">
        <f>SUMIF('Investment Analysis'!$E$22:$E$69,'FCC Investments - Load Tab'!C936,'Investment Analysis'!$L$22:$L$69)</f>
        <v>0</v>
      </c>
      <c r="F937" s="367" t="s">
        <v>673</v>
      </c>
      <c r="G937" s="367" t="s">
        <v>963</v>
      </c>
      <c r="H937" s="368" t="e">
        <f>+H$2</f>
        <v>#N/A</v>
      </c>
      <c r="I937" s="368" t="str">
        <f t="shared" si="318"/>
        <v>Jun</v>
      </c>
      <c r="J937" s="367" t="str">
        <f t="shared" si="316"/>
        <v>FY25</v>
      </c>
      <c r="K937" s="367" t="s">
        <v>843</v>
      </c>
      <c r="L937" s="367" t="s">
        <v>844</v>
      </c>
      <c r="M937" s="367" t="s">
        <v>845</v>
      </c>
      <c r="N937" s="367" t="s">
        <v>846</v>
      </c>
      <c r="O937" s="367" t="s">
        <v>722</v>
      </c>
      <c r="P937" s="367" t="s">
        <v>582</v>
      </c>
      <c r="Q937" s="367" t="str">
        <f t="shared" si="319"/>
        <v>FCCS_ClosingBalance_Input</v>
      </c>
      <c r="R937" s="367" t="s">
        <v>169</v>
      </c>
      <c r="S937" s="367" t="s">
        <v>848</v>
      </c>
      <c r="T937" s="367" t="s">
        <v>850</v>
      </c>
    </row>
    <row r="938" spans="2:20" x14ac:dyDescent="0.3">
      <c r="B938" s="364" t="s">
        <v>668</v>
      </c>
      <c r="C938" s="365" t="s">
        <v>922</v>
      </c>
      <c r="D938" s="366" t="str">
        <f>[2]!HsSetValue(E938,"FCC","Scenario#"&amp;R938&amp;";Years#"&amp;J938&amp;";Period#"&amp;I938&amp;";View#"&amp;S938&amp;";Entity#"&amp;H938&amp;";Data Source#"&amp;K938&amp;";Account#"&amp;F938&amp;";Intercompany#"&amp;L938&amp;";Movement#"&amp;Q938&amp;";Consolidation#"&amp;T938&amp;";Custom1#"&amp;M938&amp;";Custom2#"&amp;N938&amp;";Custom3#"&amp;O938&amp;";Custom4#"&amp;P938&amp;"")</f>
        <v>#Invalid Syntax</v>
      </c>
      <c r="E938" s="366">
        <f>SUMIF('Investment Analysis'!$E$22:$E$69,'FCC Investments - Load Tab'!C936,'Investment Analysis'!$M$22:$M$69)</f>
        <v>0</v>
      </c>
      <c r="F938" s="367" t="s">
        <v>673</v>
      </c>
      <c r="G938" s="367" t="s">
        <v>963</v>
      </c>
      <c r="H938" s="368" t="e">
        <f>+H$2</f>
        <v>#N/A</v>
      </c>
      <c r="I938" s="368" t="str">
        <f t="shared" si="318"/>
        <v>Jun</v>
      </c>
      <c r="J938" s="367" t="str">
        <f t="shared" si="316"/>
        <v>FY25</v>
      </c>
      <c r="K938" s="367" t="s">
        <v>843</v>
      </c>
      <c r="L938" s="367" t="s">
        <v>844</v>
      </c>
      <c r="M938" s="367" t="s">
        <v>845</v>
      </c>
      <c r="N938" s="367" t="s">
        <v>846</v>
      </c>
      <c r="O938" s="367" t="s">
        <v>723</v>
      </c>
      <c r="P938" s="367" t="s">
        <v>582</v>
      </c>
      <c r="Q938" s="367" t="str">
        <f t="shared" si="319"/>
        <v>FCCS_ClosingBalance_Input</v>
      </c>
      <c r="R938" s="367" t="s">
        <v>169</v>
      </c>
      <c r="S938" s="367" t="s">
        <v>848</v>
      </c>
      <c r="T938" s="367" t="s">
        <v>850</v>
      </c>
    </row>
    <row r="939" spans="2:20" x14ac:dyDescent="0.3">
      <c r="B939" s="364" t="s">
        <v>668</v>
      </c>
      <c r="C939" s="365" t="s">
        <v>922</v>
      </c>
      <c r="D939" s="366" t="str">
        <f>[2]!HsSetValue(E939,"FCC","Scenario#"&amp;R939&amp;";Years#"&amp;J939&amp;";Period#"&amp;I939&amp;";View#"&amp;S939&amp;";Entity#"&amp;H939&amp;";Data Source#"&amp;K939&amp;";Account#"&amp;F939&amp;";Intercompany#"&amp;L939&amp;";Movement#"&amp;Q939&amp;";Consolidation#"&amp;T939&amp;";Custom1#"&amp;M939&amp;";Custom2#"&amp;N939&amp;";Custom3#"&amp;O939&amp;";Custom4#"&amp;P939&amp;"")</f>
        <v>#Invalid Syntax</v>
      </c>
      <c r="E939" s="366">
        <f>SUMIF('Investment Analysis'!$E$22:$E$69,'FCC Investments - Load Tab'!C939,'Investment Analysis'!$N$22:$N$69)</f>
        <v>0</v>
      </c>
      <c r="F939" s="367" t="s">
        <v>673</v>
      </c>
      <c r="G939" s="367" t="s">
        <v>963</v>
      </c>
      <c r="H939" s="368" t="e">
        <f>+H$2</f>
        <v>#N/A</v>
      </c>
      <c r="I939" s="368" t="str">
        <f t="shared" si="318"/>
        <v>Jun</v>
      </c>
      <c r="J939" s="367" t="str">
        <f t="shared" si="316"/>
        <v>FY25</v>
      </c>
      <c r="K939" s="367" t="s">
        <v>843</v>
      </c>
      <c r="L939" s="367" t="s">
        <v>844</v>
      </c>
      <c r="M939" s="367" t="s">
        <v>845</v>
      </c>
      <c r="N939" s="367" t="s">
        <v>846</v>
      </c>
      <c r="O939" s="367" t="s">
        <v>724</v>
      </c>
      <c r="P939" s="367" t="s">
        <v>582</v>
      </c>
      <c r="Q939" s="367" t="str">
        <f t="shared" si="319"/>
        <v>FCCS_ClosingBalance_Input</v>
      </c>
      <c r="R939" s="367" t="s">
        <v>169</v>
      </c>
      <c r="S939" s="367" t="s">
        <v>848</v>
      </c>
      <c r="T939" s="367" t="s">
        <v>850</v>
      </c>
    </row>
    <row r="940" spans="2:20" x14ac:dyDescent="0.3">
      <c r="B940" s="364" t="s">
        <v>668</v>
      </c>
      <c r="C940" s="365" t="s">
        <v>922</v>
      </c>
      <c r="D940" s="366" t="str">
        <f>[2]!HsSetValue(E940,"FCC","Scenario#"&amp;R940&amp;";Years#"&amp;J940&amp;";Period#"&amp;I940&amp;";View#"&amp;S940&amp;";Entity#"&amp;H940&amp;";Data Source#"&amp;K940&amp;";Account#"&amp;F940&amp;";Intercompany#"&amp;L940&amp;";Movement#"&amp;Q940&amp;";Consolidation#"&amp;T940&amp;";Custom1#"&amp;M940&amp;";Custom2#"&amp;N940&amp;";Custom3#"&amp;O940&amp;";Custom4#"&amp;P940&amp;"")</f>
        <v>#Invalid Syntax</v>
      </c>
      <c r="E940" s="366">
        <f>SUMIF('Investment Analysis'!$E$2:$E$69,'FCC Investments - Load Tab'!C940,'Investment Analysis'!$O$2:$O$69)</f>
        <v>0</v>
      </c>
      <c r="F940" s="367" t="s">
        <v>673</v>
      </c>
      <c r="G940" s="367" t="s">
        <v>963</v>
      </c>
      <c r="H940" s="368" t="e">
        <f>+H$2</f>
        <v>#N/A</v>
      </c>
      <c r="I940" s="368" t="str">
        <f t="shared" si="318"/>
        <v>Jun</v>
      </c>
      <c r="J940" s="367" t="str">
        <f t="shared" si="316"/>
        <v>FY25</v>
      </c>
      <c r="K940" s="367" t="s">
        <v>843</v>
      </c>
      <c r="L940" s="367" t="s">
        <v>844</v>
      </c>
      <c r="M940" s="367" t="s">
        <v>845</v>
      </c>
      <c r="N940" s="367" t="s">
        <v>846</v>
      </c>
      <c r="O940" s="367" t="s">
        <v>725</v>
      </c>
      <c r="P940" s="367" t="s">
        <v>582</v>
      </c>
      <c r="Q940" s="367" t="str">
        <f t="shared" si="319"/>
        <v>FCCS_ClosingBalance_Input</v>
      </c>
      <c r="R940" s="367" t="s">
        <v>169</v>
      </c>
      <c r="S940" s="367" t="s">
        <v>848</v>
      </c>
      <c r="T940" s="367" t="s">
        <v>850</v>
      </c>
    </row>
    <row r="941" spans="2:20" x14ac:dyDescent="0.3">
      <c r="B941" s="210"/>
      <c r="C941" s="211"/>
      <c r="D941" s="212"/>
      <c r="E941" s="212"/>
    </row>
    <row r="942" spans="2:20" x14ac:dyDescent="0.3">
      <c r="B942" s="214" t="s">
        <v>667</v>
      </c>
      <c r="C942" s="214" t="s">
        <v>922</v>
      </c>
      <c r="D942" s="216" t="str">
        <f>[2]!HsSetValue(E942,"FCC","Scenario#"&amp;R942&amp;";Years#"&amp;J942&amp;";Period#"&amp;I942&amp;";View#"&amp;S942&amp;";Entity#"&amp;H942&amp;";Data Source#"&amp;K942&amp;";Account#"&amp;F942&amp;";Intercompany#"&amp;L942&amp;";Movement#"&amp;Q942&amp;";Consolidation#"&amp;T942&amp;";Custom1#"&amp;M942&amp;";Custom2#"&amp;N942&amp;";Custom3#"&amp;O942&amp;";Custom4#"&amp;P942&amp;"")</f>
        <v>#Invalid Syntax</v>
      </c>
      <c r="E942" s="216">
        <f>SUMIFS('Investment Analysis'!$H$22:$H$69,'Investment Analysis'!$E$22:$E$69,"US Agencies Obligations-Explicitly Guaranteed",'Investment Analysis'!$AB$22:$AB$69,"10")</f>
        <v>0</v>
      </c>
      <c r="F942" s="217" t="s">
        <v>674</v>
      </c>
      <c r="G942" s="217" t="s">
        <v>1070</v>
      </c>
      <c r="H942" s="218" t="e">
        <f t="shared" ref="H942:N957" si="320">+H$2</f>
        <v>#N/A</v>
      </c>
      <c r="I942" s="218" t="str">
        <f t="shared" si="320"/>
        <v>Jun</v>
      </c>
      <c r="J942" s="217" t="str">
        <f t="shared" si="316"/>
        <v>FY25</v>
      </c>
      <c r="K942" s="217" t="s">
        <v>843</v>
      </c>
      <c r="L942" s="217" t="s">
        <v>844</v>
      </c>
      <c r="M942" s="217" t="s">
        <v>845</v>
      </c>
      <c r="N942" s="217" t="s">
        <v>846</v>
      </c>
      <c r="O942" s="217" t="s">
        <v>433</v>
      </c>
      <c r="P942" s="217" t="s">
        <v>582</v>
      </c>
      <c r="Q942" s="217" t="str">
        <f t="shared" ref="Q942:Q955" si="321">Q$2</f>
        <v>FCCS_ClosingBalance_Input</v>
      </c>
      <c r="R942" s="217" t="s">
        <v>169</v>
      </c>
      <c r="S942" s="217" t="s">
        <v>848</v>
      </c>
      <c r="T942" s="217" t="s">
        <v>850</v>
      </c>
    </row>
    <row r="943" spans="2:20" x14ac:dyDescent="0.3">
      <c r="B943" s="214" t="s">
        <v>667</v>
      </c>
      <c r="C943" s="214" t="s">
        <v>922</v>
      </c>
      <c r="D943" s="216" t="str">
        <f>[2]!HsSetValue(E943,"FCC","Scenario#"&amp;R943&amp;";Years#"&amp;J943&amp;";Period#"&amp;I943&amp;";View#"&amp;S943&amp;";Entity#"&amp;H943&amp;";Data Source#"&amp;K943&amp;";Account#"&amp;F943&amp;";Intercompany#"&amp;L943&amp;";Movement#"&amp;Q943&amp;";Consolidation#"&amp;T943&amp;";Custom1#"&amp;M943&amp;";Custom2#"&amp;N943&amp;";Custom3#"&amp;O943&amp;";Custom4#"&amp;P943&amp;"")</f>
        <v>#Invalid Syntax</v>
      </c>
      <c r="E943" s="216">
        <f>SUMIFS('Investment Analysis'!$H$22:$H$69,'Investment Analysis'!$E$22:$E$69,"US Agencies Obligations-Explicitly Guaranteed",'Investment Analysis'!$AB$22:$AB$69,"9")</f>
        <v>0</v>
      </c>
      <c r="F943" s="217" t="s">
        <v>674</v>
      </c>
      <c r="G943" s="217" t="s">
        <v>1070</v>
      </c>
      <c r="H943" s="218" t="e">
        <f t="shared" si="320"/>
        <v>#N/A</v>
      </c>
      <c r="I943" s="218" t="str">
        <f t="shared" si="320"/>
        <v>Jun</v>
      </c>
      <c r="J943" s="217" t="str">
        <f t="shared" si="316"/>
        <v>FY25</v>
      </c>
      <c r="K943" s="217" t="s">
        <v>843</v>
      </c>
      <c r="L943" s="217" t="s">
        <v>844</v>
      </c>
      <c r="M943" s="217" t="s">
        <v>845</v>
      </c>
      <c r="N943" s="217" t="s">
        <v>846</v>
      </c>
      <c r="O943" s="217" t="s">
        <v>596</v>
      </c>
      <c r="P943" s="217" t="s">
        <v>582</v>
      </c>
      <c r="Q943" s="217" t="str">
        <f t="shared" si="321"/>
        <v>FCCS_ClosingBalance_Input</v>
      </c>
      <c r="R943" s="217" t="s">
        <v>169</v>
      </c>
      <c r="S943" s="217" t="s">
        <v>848</v>
      </c>
      <c r="T943" s="217" t="s">
        <v>850</v>
      </c>
    </row>
    <row r="944" spans="2:20" x14ac:dyDescent="0.3">
      <c r="B944" s="214" t="s">
        <v>667</v>
      </c>
      <c r="C944" s="214" t="s">
        <v>922</v>
      </c>
      <c r="D944" s="216" t="str">
        <f>[2]!HsSetValue(E944,"FCC","Scenario#"&amp;R944&amp;";Years#"&amp;J944&amp;";Period#"&amp;I944&amp;";View#"&amp;S944&amp;";Entity#"&amp;H944&amp;";Data Source#"&amp;K944&amp;";Account#"&amp;F944&amp;";Intercompany#"&amp;L944&amp;";Movement#"&amp;Q944&amp;";Consolidation#"&amp;T944&amp;";Custom1#"&amp;M944&amp;";Custom2#"&amp;N944&amp;";Custom3#"&amp;O944&amp;";Custom4#"&amp;P944&amp;"")</f>
        <v>#Invalid Syntax</v>
      </c>
      <c r="E944" s="216">
        <f>SUMIFS('Investment Analysis'!$H$22:$H$69,'Investment Analysis'!$E$22:$E$69,"US Agencies Obligations-Explicitly Guaranteed",'Investment Analysis'!$AB$22:$AB$69,"8")</f>
        <v>0</v>
      </c>
      <c r="F944" s="217" t="s">
        <v>674</v>
      </c>
      <c r="G944" s="217" t="s">
        <v>1070</v>
      </c>
      <c r="H944" s="218" t="e">
        <f t="shared" si="320"/>
        <v>#N/A</v>
      </c>
      <c r="I944" s="218" t="str">
        <f t="shared" si="320"/>
        <v>Jun</v>
      </c>
      <c r="J944" s="217" t="str">
        <f t="shared" si="316"/>
        <v>FY25</v>
      </c>
      <c r="K944" s="217" t="s">
        <v>843</v>
      </c>
      <c r="L944" s="217" t="s">
        <v>844</v>
      </c>
      <c r="M944" s="217" t="s">
        <v>845</v>
      </c>
      <c r="N944" s="217" t="s">
        <v>846</v>
      </c>
      <c r="O944" s="217" t="s">
        <v>61</v>
      </c>
      <c r="P944" s="217" t="s">
        <v>582</v>
      </c>
      <c r="Q944" s="217" t="str">
        <f t="shared" si="321"/>
        <v>FCCS_ClosingBalance_Input</v>
      </c>
      <c r="R944" s="217" t="s">
        <v>169</v>
      </c>
      <c r="S944" s="217" t="s">
        <v>848</v>
      </c>
      <c r="T944" s="217" t="s">
        <v>850</v>
      </c>
    </row>
    <row r="945" spans="2:20" x14ac:dyDescent="0.3">
      <c r="B945" s="214" t="s">
        <v>667</v>
      </c>
      <c r="C945" s="214" t="s">
        <v>922</v>
      </c>
      <c r="D945" s="216" t="str">
        <f>[2]!HsSetValue(E945,"FCC","Scenario#"&amp;R945&amp;";Years#"&amp;J945&amp;";Period#"&amp;I945&amp;";View#"&amp;S945&amp;";Entity#"&amp;H945&amp;";Data Source#"&amp;K945&amp;";Account#"&amp;F945&amp;";Intercompany#"&amp;L945&amp;";Movement#"&amp;Q945&amp;";Consolidation#"&amp;T945&amp;";Custom1#"&amp;M945&amp;";Custom2#"&amp;N945&amp;";Custom3#"&amp;O945&amp;";Custom4#"&amp;P945&amp;"")</f>
        <v>#Invalid Syntax</v>
      </c>
      <c r="E945" s="216">
        <f>SUMIFS('Investment Analysis'!$H$22:$H$69,'Investment Analysis'!$E$22:$E$69,"US Agencies Obligations-Explicitly Guaranteed",'Investment Analysis'!$AB$22:$AB$69,"7")</f>
        <v>0</v>
      </c>
      <c r="F945" s="217" t="s">
        <v>674</v>
      </c>
      <c r="G945" s="217" t="s">
        <v>1070</v>
      </c>
      <c r="H945" s="218" t="e">
        <f t="shared" si="320"/>
        <v>#N/A</v>
      </c>
      <c r="I945" s="218" t="str">
        <f t="shared" si="320"/>
        <v>Jun</v>
      </c>
      <c r="J945" s="217" t="str">
        <f t="shared" si="316"/>
        <v>FY25</v>
      </c>
      <c r="K945" s="217" t="s">
        <v>843</v>
      </c>
      <c r="L945" s="217" t="s">
        <v>844</v>
      </c>
      <c r="M945" s="217" t="s">
        <v>845</v>
      </c>
      <c r="N945" s="217" t="s">
        <v>846</v>
      </c>
      <c r="O945" s="217" t="s">
        <v>62</v>
      </c>
      <c r="P945" s="217" t="s">
        <v>582</v>
      </c>
      <c r="Q945" s="217" t="str">
        <f t="shared" si="321"/>
        <v>FCCS_ClosingBalance_Input</v>
      </c>
      <c r="R945" s="217" t="s">
        <v>169</v>
      </c>
      <c r="S945" s="217" t="s">
        <v>848</v>
      </c>
      <c r="T945" s="217" t="s">
        <v>850</v>
      </c>
    </row>
    <row r="946" spans="2:20" x14ac:dyDescent="0.3">
      <c r="B946" s="214" t="s">
        <v>667</v>
      </c>
      <c r="C946" s="214" t="s">
        <v>922</v>
      </c>
      <c r="D946" s="216" t="str">
        <f>[2]!HsSetValue(E946,"FCC","Scenario#"&amp;R946&amp;";Years#"&amp;J946&amp;";Period#"&amp;I946&amp;";View#"&amp;S946&amp;";Entity#"&amp;H946&amp;";Data Source#"&amp;K946&amp;";Account#"&amp;F946&amp;";Intercompany#"&amp;L946&amp;";Movement#"&amp;Q946&amp;";Consolidation#"&amp;T946&amp;";Custom1#"&amp;M946&amp;";Custom2#"&amp;N946&amp;";Custom3#"&amp;O946&amp;";Custom4#"&amp;P946&amp;"")</f>
        <v>#Invalid Syntax</v>
      </c>
      <c r="E946" s="216">
        <f>SUMIFS('Investment Analysis'!$H$22:$H$69,'Investment Analysis'!$E$22:$E$69,"US Agencies Obligations-Explicitly Guaranteed",'Investment Analysis'!$AB$22:$AB$69,"6")</f>
        <v>0</v>
      </c>
      <c r="F946" s="217" t="s">
        <v>674</v>
      </c>
      <c r="G946" s="217" t="s">
        <v>1070</v>
      </c>
      <c r="H946" s="218" t="e">
        <f t="shared" si="320"/>
        <v>#N/A</v>
      </c>
      <c r="I946" s="218" t="str">
        <f t="shared" si="320"/>
        <v>Jun</v>
      </c>
      <c r="J946" s="217" t="str">
        <f t="shared" si="320"/>
        <v>FY25</v>
      </c>
      <c r="K946" s="217" t="s">
        <v>843</v>
      </c>
      <c r="L946" s="217" t="s">
        <v>844</v>
      </c>
      <c r="M946" s="217" t="s">
        <v>845</v>
      </c>
      <c r="N946" s="217" t="s">
        <v>846</v>
      </c>
      <c r="O946" s="217" t="s">
        <v>436</v>
      </c>
      <c r="P946" s="217" t="s">
        <v>582</v>
      </c>
      <c r="Q946" s="217" t="str">
        <f t="shared" si="321"/>
        <v>FCCS_ClosingBalance_Input</v>
      </c>
      <c r="R946" s="217" t="s">
        <v>169</v>
      </c>
      <c r="S946" s="217" t="s">
        <v>848</v>
      </c>
      <c r="T946" s="217" t="s">
        <v>850</v>
      </c>
    </row>
    <row r="947" spans="2:20" s="371" customFormat="1" x14ac:dyDescent="0.3">
      <c r="B947" s="214" t="s">
        <v>667</v>
      </c>
      <c r="C947" s="214" t="s">
        <v>922</v>
      </c>
      <c r="D947" s="216" t="str">
        <f>[2]!HsSetValue(E947,"FCC","Scenario#"&amp;R947&amp;";Years#"&amp;J947&amp;";Period#"&amp;I947&amp;";View#"&amp;S947&amp;";Entity#"&amp;H947&amp;";Data Source#"&amp;K947&amp;";Account#"&amp;F947&amp;";Intercompany#"&amp;L947&amp;";Movement#"&amp;Q947&amp;";Consolidation#"&amp;T947&amp;";Custom1#"&amp;M947&amp;";Custom2#"&amp;N947&amp;";Custom3#"&amp;O947&amp;";Custom4#"&amp;P947&amp;"")</f>
        <v>#Invalid Syntax</v>
      </c>
      <c r="E947" s="216">
        <f>SUMIFS('Investment Analysis'!$H$22:$H$69,'Investment Analysis'!$E$22:$E$69,"US Agencies Obligations-Explicitly Guaranteed",'Investment Analysis'!$AB$22:$AB$69,"5")</f>
        <v>0</v>
      </c>
      <c r="F947" s="217" t="s">
        <v>674</v>
      </c>
      <c r="G947" s="217" t="s">
        <v>1070</v>
      </c>
      <c r="H947" s="218" t="e">
        <f t="shared" si="320"/>
        <v>#N/A</v>
      </c>
      <c r="I947" s="218" t="str">
        <f t="shared" si="320"/>
        <v>Jun</v>
      </c>
      <c r="J947" s="217" t="str">
        <f t="shared" si="320"/>
        <v>FY25</v>
      </c>
      <c r="K947" s="217" t="str">
        <f t="shared" si="320"/>
        <v>FCCS_Other Data</v>
      </c>
      <c r="L947" s="217" t="str">
        <f t="shared" si="320"/>
        <v>FCCS_No Intercompany</v>
      </c>
      <c r="M947" s="217" t="str">
        <f>+M$1</f>
        <v>No Custom1</v>
      </c>
      <c r="N947" s="217" t="str">
        <f t="shared" si="320"/>
        <v>No Custom2</v>
      </c>
      <c r="O947" s="217" t="s">
        <v>434</v>
      </c>
      <c r="P947" s="217" t="s">
        <v>582</v>
      </c>
      <c r="Q947" s="217" t="str">
        <f t="shared" si="321"/>
        <v>FCCS_ClosingBalance_Input</v>
      </c>
      <c r="R947" s="217" t="str">
        <f t="shared" ref="R947:S951" si="322">+R$2</f>
        <v>Actual</v>
      </c>
      <c r="S947" s="217" t="str">
        <f t="shared" si="322"/>
        <v>FCCS_YTD_Input</v>
      </c>
      <c r="T947" s="217" t="s">
        <v>850</v>
      </c>
    </row>
    <row r="948" spans="2:20" s="371" customFormat="1" x14ac:dyDescent="0.3">
      <c r="B948" s="214" t="s">
        <v>667</v>
      </c>
      <c r="C948" s="214" t="s">
        <v>922</v>
      </c>
      <c r="D948" s="216" t="str">
        <f>[2]!HsSetValue(E948,"FCC","Scenario#"&amp;R948&amp;";Years#"&amp;J948&amp;";Period#"&amp;I948&amp;";View#"&amp;S948&amp;";Entity#"&amp;H948&amp;";Data Source#"&amp;K948&amp;";Account#"&amp;F948&amp;";Intercompany#"&amp;L948&amp;";Movement#"&amp;Q948&amp;";Consolidation#"&amp;T948&amp;";Custom1#"&amp;M948&amp;";Custom2#"&amp;N948&amp;";Custom3#"&amp;O948&amp;";Custom4#"&amp;P948&amp;"")</f>
        <v>#Invalid Syntax</v>
      </c>
      <c r="E948" s="216">
        <f>SUMIFS('Investment Analysis'!$H$22:$H$69,'Investment Analysis'!$E$22:$E$69,"US Agencies Obligations-Explicitly Guaranteed",'Investment Analysis'!$AB$22:$AB$69,"4")</f>
        <v>0</v>
      </c>
      <c r="F948" s="217" t="s">
        <v>674</v>
      </c>
      <c r="G948" s="217" t="s">
        <v>1070</v>
      </c>
      <c r="H948" s="218" t="e">
        <f t="shared" si="320"/>
        <v>#N/A</v>
      </c>
      <c r="I948" s="218" t="str">
        <f t="shared" si="320"/>
        <v>Jun</v>
      </c>
      <c r="J948" s="217" t="str">
        <f t="shared" si="320"/>
        <v>FY25</v>
      </c>
      <c r="K948" s="217" t="str">
        <f t="shared" si="320"/>
        <v>FCCS_Other Data</v>
      </c>
      <c r="L948" s="217" t="str">
        <f t="shared" si="320"/>
        <v>FCCS_No Intercompany</v>
      </c>
      <c r="M948" s="217" t="str">
        <f>+M$1</f>
        <v>No Custom1</v>
      </c>
      <c r="N948" s="217" t="str">
        <f t="shared" si="320"/>
        <v>No Custom2</v>
      </c>
      <c r="O948" s="217" t="s">
        <v>63</v>
      </c>
      <c r="P948" s="217" t="s">
        <v>582</v>
      </c>
      <c r="Q948" s="217" t="str">
        <f t="shared" si="321"/>
        <v>FCCS_ClosingBalance_Input</v>
      </c>
      <c r="R948" s="217" t="str">
        <f t="shared" si="322"/>
        <v>Actual</v>
      </c>
      <c r="S948" s="217" t="str">
        <f t="shared" si="322"/>
        <v>FCCS_YTD_Input</v>
      </c>
      <c r="T948" s="217" t="s">
        <v>850</v>
      </c>
    </row>
    <row r="949" spans="2:20" s="371" customFormat="1" x14ac:dyDescent="0.3">
      <c r="B949" s="214" t="s">
        <v>667</v>
      </c>
      <c r="C949" s="214" t="s">
        <v>922</v>
      </c>
      <c r="D949" s="216" t="str">
        <f>[2]!HsSetValue(E949,"FCC","Scenario#"&amp;R949&amp;";Years#"&amp;J949&amp;";Period#"&amp;I949&amp;";View#"&amp;S949&amp;";Entity#"&amp;H949&amp;";Data Source#"&amp;K949&amp;";Account#"&amp;F949&amp;";Intercompany#"&amp;L949&amp;";Movement#"&amp;Q949&amp;";Consolidation#"&amp;T949&amp;";Custom1#"&amp;M949&amp;";Custom2#"&amp;N949&amp;";Custom3#"&amp;O949&amp;";Custom4#"&amp;P949&amp;"")</f>
        <v>#Invalid Syntax</v>
      </c>
      <c r="E949" s="216">
        <f>SUMIFS('Investment Analysis'!$H$22:$H$69,'Investment Analysis'!$E$22:$E$69,"US Agencies Obligations-Explicitly Guaranteed",'Investment Analysis'!$AB$22:$AB$69,"3")</f>
        <v>0</v>
      </c>
      <c r="F949" s="217" t="s">
        <v>674</v>
      </c>
      <c r="G949" s="217" t="s">
        <v>1070</v>
      </c>
      <c r="H949" s="218" t="e">
        <f t="shared" si="320"/>
        <v>#N/A</v>
      </c>
      <c r="I949" s="218" t="str">
        <f t="shared" si="320"/>
        <v>Jun</v>
      </c>
      <c r="J949" s="217" t="str">
        <f t="shared" si="320"/>
        <v>FY25</v>
      </c>
      <c r="K949" s="217" t="str">
        <f t="shared" si="320"/>
        <v>FCCS_Other Data</v>
      </c>
      <c r="L949" s="217" t="str">
        <f t="shared" si="320"/>
        <v>FCCS_No Intercompany</v>
      </c>
      <c r="M949" s="217" t="str">
        <f>+M$1</f>
        <v>No Custom1</v>
      </c>
      <c r="N949" s="217" t="str">
        <f t="shared" si="320"/>
        <v>No Custom2</v>
      </c>
      <c r="O949" s="217" t="s">
        <v>622</v>
      </c>
      <c r="P949" s="217" t="s">
        <v>582</v>
      </c>
      <c r="Q949" s="217" t="str">
        <f t="shared" si="321"/>
        <v>FCCS_ClosingBalance_Input</v>
      </c>
      <c r="R949" s="217" t="str">
        <f t="shared" si="322"/>
        <v>Actual</v>
      </c>
      <c r="S949" s="217" t="str">
        <f t="shared" si="322"/>
        <v>FCCS_YTD_Input</v>
      </c>
      <c r="T949" s="217" t="s">
        <v>850</v>
      </c>
    </row>
    <row r="950" spans="2:20" s="371" customFormat="1" x14ac:dyDescent="0.3">
      <c r="B950" s="214" t="s">
        <v>667</v>
      </c>
      <c r="C950" s="214" t="s">
        <v>922</v>
      </c>
      <c r="D950" s="216" t="str">
        <f>[2]!HsSetValue(E950,"FCC","Scenario#"&amp;R950&amp;";Years#"&amp;J950&amp;";Period#"&amp;I950&amp;";View#"&amp;S950&amp;";Entity#"&amp;H950&amp;";Data Source#"&amp;K950&amp;";Account#"&amp;F950&amp;";Intercompany#"&amp;L950&amp;";Movement#"&amp;Q950&amp;";Consolidation#"&amp;T950&amp;";Custom1#"&amp;M950&amp;";Custom2#"&amp;N950&amp;";Custom3#"&amp;O950&amp;";Custom4#"&amp;P950&amp;"")</f>
        <v>#Invalid Syntax</v>
      </c>
      <c r="E950" s="216">
        <f>SUMIFS('Investment Analysis'!$H$22:$H$69,'Investment Analysis'!$E$22:$E$69,"US Agencies Obligations-Explicitly Guaranteed",'Investment Analysis'!$AB$22:$AB$69,"2")</f>
        <v>0</v>
      </c>
      <c r="F950" s="217" t="s">
        <v>674</v>
      </c>
      <c r="G950" s="217" t="s">
        <v>1070</v>
      </c>
      <c r="H950" s="218" t="e">
        <f t="shared" si="320"/>
        <v>#N/A</v>
      </c>
      <c r="I950" s="218" t="str">
        <f t="shared" si="320"/>
        <v>Jun</v>
      </c>
      <c r="J950" s="217" t="str">
        <f t="shared" si="320"/>
        <v>FY25</v>
      </c>
      <c r="K950" s="217" t="str">
        <f t="shared" si="320"/>
        <v>FCCS_Other Data</v>
      </c>
      <c r="L950" s="217" t="str">
        <f t="shared" si="320"/>
        <v>FCCS_No Intercompany</v>
      </c>
      <c r="M950" s="217" t="str">
        <f>+M$1</f>
        <v>No Custom1</v>
      </c>
      <c r="N950" s="217" t="str">
        <f t="shared" si="320"/>
        <v>No Custom2</v>
      </c>
      <c r="O950" s="217" t="s">
        <v>618</v>
      </c>
      <c r="P950" s="217" t="s">
        <v>582</v>
      </c>
      <c r="Q950" s="217" t="str">
        <f t="shared" si="321"/>
        <v>FCCS_ClosingBalance_Input</v>
      </c>
      <c r="R950" s="217" t="str">
        <f t="shared" si="322"/>
        <v>Actual</v>
      </c>
      <c r="S950" s="217" t="str">
        <f t="shared" si="322"/>
        <v>FCCS_YTD_Input</v>
      </c>
      <c r="T950" s="217" t="s">
        <v>850</v>
      </c>
    </row>
    <row r="951" spans="2:20" s="371" customFormat="1" x14ac:dyDescent="0.3">
      <c r="B951" s="214" t="s">
        <v>667</v>
      </c>
      <c r="C951" s="214" t="s">
        <v>922</v>
      </c>
      <c r="D951" s="216" t="str">
        <f>[2]!HsSetValue(E951,"FCC","Scenario#"&amp;R951&amp;";Years#"&amp;J951&amp;";Period#"&amp;I951&amp;";View#"&amp;S951&amp;";Entity#"&amp;H951&amp;";Data Source#"&amp;K951&amp;";Account#"&amp;F951&amp;";Intercompany#"&amp;L951&amp;";Movement#"&amp;Q951&amp;";Consolidation#"&amp;T951&amp;";Custom1#"&amp;M951&amp;";Custom2#"&amp;N951&amp;";Custom3#"&amp;O951&amp;";Custom4#"&amp;P951&amp;"")</f>
        <v>#Invalid Syntax</v>
      </c>
      <c r="E951" s="216">
        <f>SUMIFS('Investment Analysis'!$H$22:$H$69,'Investment Analysis'!$E$22:$E$69,"US Agencies Obligations-Explicitly Guaranteed",'Investment Analysis'!$AB$22:$AB$69,"1")</f>
        <v>0</v>
      </c>
      <c r="F951" s="217" t="s">
        <v>674</v>
      </c>
      <c r="G951" s="217" t="s">
        <v>1070</v>
      </c>
      <c r="H951" s="218" t="e">
        <f t="shared" si="320"/>
        <v>#N/A</v>
      </c>
      <c r="I951" s="218" t="str">
        <f t="shared" si="320"/>
        <v>Jun</v>
      </c>
      <c r="J951" s="217" t="str">
        <f t="shared" si="320"/>
        <v>FY25</v>
      </c>
      <c r="K951" s="217" t="str">
        <f t="shared" si="320"/>
        <v>FCCS_Other Data</v>
      </c>
      <c r="L951" s="217" t="str">
        <f t="shared" si="320"/>
        <v>FCCS_No Intercompany</v>
      </c>
      <c r="M951" s="217" t="str">
        <f>+M$1</f>
        <v>No Custom1</v>
      </c>
      <c r="N951" s="217" t="str">
        <f t="shared" si="320"/>
        <v>No Custom2</v>
      </c>
      <c r="O951" s="217" t="s">
        <v>64</v>
      </c>
      <c r="P951" s="217" t="s">
        <v>582</v>
      </c>
      <c r="Q951" s="217" t="str">
        <f t="shared" si="321"/>
        <v>FCCS_ClosingBalance_Input</v>
      </c>
      <c r="R951" s="217" t="str">
        <f t="shared" si="322"/>
        <v>Actual</v>
      </c>
      <c r="S951" s="217" t="str">
        <f t="shared" si="322"/>
        <v>FCCS_YTD_Input</v>
      </c>
      <c r="T951" s="217" t="s">
        <v>850</v>
      </c>
    </row>
    <row r="952" spans="2:20" x14ac:dyDescent="0.3">
      <c r="B952" s="214" t="s">
        <v>667</v>
      </c>
      <c r="C952" s="214" t="s">
        <v>922</v>
      </c>
      <c r="D952" s="216" t="str">
        <f>[2]!HsSetValue(E952,"FCC","Scenario#"&amp;R952&amp;";Years#"&amp;J952&amp;";Period#"&amp;I952&amp;";View#"&amp;S952&amp;";Entity#"&amp;H952&amp;";Data Source#"&amp;K952&amp;";Account#"&amp;F952&amp;";Intercompany#"&amp;L952&amp;";Movement#"&amp;Q952&amp;";Consolidation#"&amp;T952&amp;";Custom1#"&amp;M952&amp;";Custom2#"&amp;N952&amp;";Custom3#"&amp;O952&amp;";Custom4#"&amp;P952&amp;"")</f>
        <v>#Invalid Syntax</v>
      </c>
      <c r="E952" s="216">
        <f>SUMIFS('Investment Analysis'!$H$22:$H$69,'Investment Analysis'!$E$22:$E$69,"US Agencies Obligations-Explicitly Guaranteed",'Investment Analysis'!$AI$22:$AI$69,"16")</f>
        <v>0</v>
      </c>
      <c r="F952" s="217" t="s">
        <v>674</v>
      </c>
      <c r="G952" s="217" t="s">
        <v>1070</v>
      </c>
      <c r="H952" s="218" t="e">
        <f t="shared" si="320"/>
        <v>#N/A</v>
      </c>
      <c r="I952" s="218" t="str">
        <f t="shared" si="320"/>
        <v>Jun</v>
      </c>
      <c r="J952" s="217" t="str">
        <f t="shared" si="320"/>
        <v>FY25</v>
      </c>
      <c r="K952" s="217" t="s">
        <v>843</v>
      </c>
      <c r="L952" s="217" t="s">
        <v>844</v>
      </c>
      <c r="M952" s="217" t="s">
        <v>845</v>
      </c>
      <c r="N952" s="217" t="s">
        <v>846</v>
      </c>
      <c r="O952" s="217" t="s">
        <v>726</v>
      </c>
      <c r="P952" s="217" t="s">
        <v>582</v>
      </c>
      <c r="Q952" s="217" t="str">
        <f t="shared" si="321"/>
        <v>FCCS_ClosingBalance_Input</v>
      </c>
      <c r="R952" s="217" t="s">
        <v>169</v>
      </c>
      <c r="S952" s="217" t="s">
        <v>848</v>
      </c>
      <c r="T952" s="217" t="s">
        <v>850</v>
      </c>
    </row>
    <row r="953" spans="2:20" x14ac:dyDescent="0.3">
      <c r="B953" s="214" t="s">
        <v>667</v>
      </c>
      <c r="C953" s="214" t="s">
        <v>922</v>
      </c>
      <c r="D953" s="216" t="str">
        <f>[2]!HsSetValue(E953,"FCC","Scenario#"&amp;R953&amp;";Years#"&amp;J953&amp;";Period#"&amp;I953&amp;";View#"&amp;S953&amp;";Entity#"&amp;H953&amp;";Data Source#"&amp;K953&amp;";Account#"&amp;F953&amp;";Intercompany#"&amp;L953&amp;";Movement#"&amp;Q953&amp;";Consolidation#"&amp;T953&amp;";Custom1#"&amp;M953&amp;";Custom2#"&amp;N953&amp;";Custom3#"&amp;O953&amp;";Custom4#"&amp;P953&amp;"")</f>
        <v>#Invalid Syntax</v>
      </c>
      <c r="E953" s="216">
        <f>SUMIFS('Investment Analysis'!$H$22:$H$69,'Investment Analysis'!$E$22:$E$69,"US Agencies Obligations-Explicitly Guaranteed",'Investment Analysis'!$AI$22:$AI$69,"15")</f>
        <v>0</v>
      </c>
      <c r="F953" s="217" t="s">
        <v>674</v>
      </c>
      <c r="G953" s="217" t="s">
        <v>1070</v>
      </c>
      <c r="H953" s="218" t="e">
        <f t="shared" si="320"/>
        <v>#N/A</v>
      </c>
      <c r="I953" s="218" t="str">
        <f t="shared" si="320"/>
        <v>Jun</v>
      </c>
      <c r="J953" s="217" t="str">
        <f t="shared" si="320"/>
        <v>FY25</v>
      </c>
      <c r="K953" s="217" t="s">
        <v>843</v>
      </c>
      <c r="L953" s="217" t="s">
        <v>844</v>
      </c>
      <c r="M953" s="217" t="s">
        <v>845</v>
      </c>
      <c r="N953" s="217" t="s">
        <v>846</v>
      </c>
      <c r="O953" s="217" t="s">
        <v>727</v>
      </c>
      <c r="P953" s="217" t="s">
        <v>582</v>
      </c>
      <c r="Q953" s="217" t="str">
        <f t="shared" si="321"/>
        <v>FCCS_ClosingBalance_Input</v>
      </c>
      <c r="R953" s="217" t="s">
        <v>169</v>
      </c>
      <c r="S953" s="217" t="s">
        <v>848</v>
      </c>
      <c r="T953" s="217" t="s">
        <v>850</v>
      </c>
    </row>
    <row r="954" spans="2:20" x14ac:dyDescent="0.3">
      <c r="B954" s="214" t="s">
        <v>667</v>
      </c>
      <c r="C954" s="214" t="s">
        <v>922</v>
      </c>
      <c r="D954" s="216" t="str">
        <f>[2]!HsSetValue(E954,"FCC","Scenario#"&amp;R954&amp;";Years#"&amp;J954&amp;";Period#"&amp;I954&amp;";View#"&amp;S954&amp;";Entity#"&amp;H954&amp;";Data Source#"&amp;K954&amp;";Account#"&amp;F954&amp;";Intercompany#"&amp;L954&amp;";Movement#"&amp;Q954&amp;";Consolidation#"&amp;T954&amp;";Custom1#"&amp;M954&amp;";Custom2#"&amp;N954&amp;";Custom3#"&amp;O954&amp;";Custom4#"&amp;P954&amp;"")</f>
        <v>#Invalid Syntax</v>
      </c>
      <c r="E954" s="216">
        <f>SUMIFS('Investment Analysis'!$H$22:$H$69,'Investment Analysis'!$E$22:$E$69,"US Agencies Obligations-Explicitly Guaranteed",'Investment Analysis'!$AI$22:$AI$69,"14")</f>
        <v>0</v>
      </c>
      <c r="F954" s="217" t="s">
        <v>674</v>
      </c>
      <c r="G954" s="217" t="s">
        <v>1070</v>
      </c>
      <c r="H954" s="218" t="e">
        <f t="shared" si="320"/>
        <v>#N/A</v>
      </c>
      <c r="I954" s="218" t="str">
        <f t="shared" si="320"/>
        <v>Jun</v>
      </c>
      <c r="J954" s="217" t="str">
        <f t="shared" si="320"/>
        <v>FY25</v>
      </c>
      <c r="K954" s="217" t="s">
        <v>843</v>
      </c>
      <c r="L954" s="217" t="s">
        <v>844</v>
      </c>
      <c r="M954" s="217" t="s">
        <v>845</v>
      </c>
      <c r="N954" s="217" t="s">
        <v>846</v>
      </c>
      <c r="O954" s="217" t="s">
        <v>728</v>
      </c>
      <c r="P954" s="217" t="s">
        <v>582</v>
      </c>
      <c r="Q954" s="217" t="str">
        <f t="shared" si="321"/>
        <v>FCCS_ClosingBalance_Input</v>
      </c>
      <c r="R954" s="217" t="s">
        <v>169</v>
      </c>
      <c r="S954" s="217" t="s">
        <v>848</v>
      </c>
      <c r="T954" s="217" t="s">
        <v>850</v>
      </c>
    </row>
    <row r="955" spans="2:20" x14ac:dyDescent="0.3">
      <c r="B955" s="214" t="s">
        <v>667</v>
      </c>
      <c r="C955" s="214" t="s">
        <v>922</v>
      </c>
      <c r="D955" s="216" t="str">
        <f>[2]!HsSetValue(E955,"FCC","Scenario#"&amp;R955&amp;";Years#"&amp;J955&amp;";Period#"&amp;I955&amp;";View#"&amp;S955&amp;";Entity#"&amp;H955&amp;";Data Source#"&amp;K955&amp;";Account#"&amp;F955&amp;";Intercompany#"&amp;L955&amp;";Movement#"&amp;Q955&amp;";Consolidation#"&amp;T955&amp;";Custom1#"&amp;M955&amp;";Custom2#"&amp;N955&amp;";Custom3#"&amp;O955&amp;";Custom4#"&amp;P955&amp;"")</f>
        <v>#Invalid Syntax</v>
      </c>
      <c r="E955" s="216">
        <f>SUMIFS('Investment Analysis'!$H$22:$H$69,'Investment Analysis'!$E$22:$E$69,"US Agencies Obligations-Explicitly Guaranteed",'Investment Analysis'!$AB$22:$AB$69,"0")+SUMIFS('Investment Analysis'!$H$22:$H$69,'Investment Analysis'!$E$22:$E$69,"US Agencies Obligations-Explicitly Guaranteed",'Investment Analysis'!$AI$22:$AI$69,"0")</f>
        <v>0</v>
      </c>
      <c r="F955" s="217" t="s">
        <v>674</v>
      </c>
      <c r="G955" s="217" t="s">
        <v>1070</v>
      </c>
      <c r="H955" s="218" t="e">
        <f t="shared" si="320"/>
        <v>#N/A</v>
      </c>
      <c r="I955" s="218" t="str">
        <f t="shared" si="320"/>
        <v>Jun</v>
      </c>
      <c r="J955" s="217" t="str">
        <f t="shared" si="320"/>
        <v>FY25</v>
      </c>
      <c r="K955" s="217" t="s">
        <v>843</v>
      </c>
      <c r="L955" s="217" t="s">
        <v>844</v>
      </c>
      <c r="M955" s="217" t="s">
        <v>845</v>
      </c>
      <c r="N955" s="217" t="s">
        <v>846</v>
      </c>
      <c r="O955" s="217" t="s">
        <v>609</v>
      </c>
      <c r="P955" s="217" t="s">
        <v>582</v>
      </c>
      <c r="Q955" s="217" t="str">
        <f t="shared" si="321"/>
        <v>FCCS_ClosingBalance_Input</v>
      </c>
      <c r="R955" s="217" t="s">
        <v>169</v>
      </c>
      <c r="S955" s="217" t="s">
        <v>848</v>
      </c>
      <c r="T955" s="217" t="s">
        <v>850</v>
      </c>
    </row>
    <row r="956" spans="2:20" x14ac:dyDescent="0.3">
      <c r="B956" s="210"/>
      <c r="C956" s="210"/>
      <c r="D956" s="212"/>
      <c r="E956" s="212"/>
    </row>
    <row r="957" spans="2:20" x14ac:dyDescent="0.3">
      <c r="B957" s="219" t="s">
        <v>1014</v>
      </c>
      <c r="C957" s="219" t="s">
        <v>922</v>
      </c>
      <c r="D957" s="221" t="str">
        <f>[2]!HsSetValue(E957,"FCC","Scenario#"&amp;R957&amp;";Years#"&amp;J957&amp;";Period#"&amp;I957&amp;";View#"&amp;S957&amp;";Entity#"&amp;H957&amp;";Data Source#"&amp;K957&amp;";Account#"&amp;F957&amp;";Intercompany#"&amp;L957&amp;";Movement#"&amp;Q957&amp;";Consolidation#"&amp;T957&amp;";Custom1#"&amp;M957&amp;";Custom2#"&amp;N957&amp;";Custom3#"&amp;O957&amp;";Custom4#"&amp;P957&amp;"")</f>
        <v>#Invalid Syntax</v>
      </c>
      <c r="E957" s="221">
        <f>SUMIFS('Investment Analysis'!$H$22:$H$69,'Investment Analysis'!$E$22:$E$69,"US Agencies Obligations-Explicitly Guaranteed",'Investment Analysis'!$AK$22:$AK$69,"21")</f>
        <v>0</v>
      </c>
      <c r="F957" s="222" t="s">
        <v>675</v>
      </c>
      <c r="G957" s="222" t="s">
        <v>1042</v>
      </c>
      <c r="H957" s="223" t="e">
        <f>+H$2</f>
        <v>#N/A</v>
      </c>
      <c r="I957" s="223" t="str">
        <f t="shared" ref="I957:J972" si="323">+I$2</f>
        <v>Jun</v>
      </c>
      <c r="J957" s="222" t="str">
        <f t="shared" si="320"/>
        <v>FY25</v>
      </c>
      <c r="K957" s="222" t="s">
        <v>843</v>
      </c>
      <c r="L957" s="222" t="s">
        <v>844</v>
      </c>
      <c r="M957" s="222" t="s">
        <v>845</v>
      </c>
      <c r="N957" s="222" t="s">
        <v>846</v>
      </c>
      <c r="O957" s="222" t="s">
        <v>729</v>
      </c>
      <c r="P957" s="222" t="s">
        <v>582</v>
      </c>
      <c r="Q957" s="222" t="str">
        <f t="shared" ref="Q957:Q961" si="324">Q$2</f>
        <v>FCCS_ClosingBalance_Input</v>
      </c>
      <c r="R957" s="222" t="s">
        <v>169</v>
      </c>
      <c r="S957" s="222" t="s">
        <v>848</v>
      </c>
      <c r="T957" s="222" t="s">
        <v>850</v>
      </c>
    </row>
    <row r="958" spans="2:20" x14ac:dyDescent="0.3">
      <c r="B958" s="219" t="s">
        <v>1014</v>
      </c>
      <c r="C958" s="219" t="s">
        <v>922</v>
      </c>
      <c r="D958" s="221" t="str">
        <f>[2]!HsSetValue(E958,"FCC","Scenario#"&amp;R958&amp;";Years#"&amp;J958&amp;";Period#"&amp;I958&amp;";View#"&amp;S958&amp;";Entity#"&amp;H958&amp;";Data Source#"&amp;K958&amp;";Account#"&amp;F958&amp;";Intercompany#"&amp;L958&amp;";Movement#"&amp;Q958&amp;";Consolidation#"&amp;T958&amp;";Custom1#"&amp;M958&amp;";Custom2#"&amp;N958&amp;";Custom3#"&amp;O958&amp;";Custom4#"&amp;P958&amp;"")</f>
        <v>#Invalid Syntax</v>
      </c>
      <c r="E958" s="221">
        <f>SUMIFS('Investment Analysis'!$H$22:$H$69,'Investment Analysis'!$E$22:$E$69,"US Agencies Obligations-Explicitly Guaranteed",'Investment Analysis'!$AK$22:$AK$69,"22")</f>
        <v>0</v>
      </c>
      <c r="F958" s="222" t="s">
        <v>675</v>
      </c>
      <c r="G958" s="222" t="s">
        <v>1042</v>
      </c>
      <c r="H958" s="223" t="e">
        <f>+H$2</f>
        <v>#N/A</v>
      </c>
      <c r="I958" s="223" t="str">
        <f t="shared" si="323"/>
        <v>Jun</v>
      </c>
      <c r="J958" s="222" t="str">
        <f t="shared" si="323"/>
        <v>FY25</v>
      </c>
      <c r="K958" s="222" t="s">
        <v>843</v>
      </c>
      <c r="L958" s="222" t="s">
        <v>844</v>
      </c>
      <c r="M958" s="222" t="s">
        <v>845</v>
      </c>
      <c r="N958" s="222" t="s">
        <v>846</v>
      </c>
      <c r="O958" s="222" t="s">
        <v>730</v>
      </c>
      <c r="P958" s="222" t="s">
        <v>582</v>
      </c>
      <c r="Q958" s="222" t="str">
        <f t="shared" si="324"/>
        <v>FCCS_ClosingBalance_Input</v>
      </c>
      <c r="R958" s="222" t="s">
        <v>169</v>
      </c>
      <c r="S958" s="222" t="s">
        <v>848</v>
      </c>
      <c r="T958" s="222" t="s">
        <v>850</v>
      </c>
    </row>
    <row r="959" spans="2:20" x14ac:dyDescent="0.3">
      <c r="B959" s="219" t="s">
        <v>1014</v>
      </c>
      <c r="C959" s="219" t="s">
        <v>922</v>
      </c>
      <c r="D959" s="221" t="str">
        <f>[2]!HsSetValue(E959,"FCC","Scenario#"&amp;R959&amp;";Years#"&amp;J959&amp;";Period#"&amp;I959&amp;";View#"&amp;S959&amp;";Entity#"&amp;H959&amp;";Data Source#"&amp;K959&amp;";Account#"&amp;F959&amp;";Intercompany#"&amp;L959&amp;";Movement#"&amp;Q959&amp;";Consolidation#"&amp;T959&amp;";Custom1#"&amp;M959&amp;";Custom2#"&amp;N959&amp;";Custom3#"&amp;O959&amp;";Custom4#"&amp;P959&amp;"")</f>
        <v>#Invalid Syntax</v>
      </c>
      <c r="E959" s="221">
        <f>SUMIFS('Investment Analysis'!$H$22:$H$69,'Investment Analysis'!$E$22:$E$69,"US Agencies Obligations-Explicitly Guaranteed",'Investment Analysis'!$AK$22:$AK$69,"23")</f>
        <v>0</v>
      </c>
      <c r="F959" s="222" t="s">
        <v>675</v>
      </c>
      <c r="G959" s="222" t="s">
        <v>1042</v>
      </c>
      <c r="H959" s="223" t="e">
        <f>+H$2</f>
        <v>#N/A</v>
      </c>
      <c r="I959" s="223" t="str">
        <f t="shared" si="323"/>
        <v>Jun</v>
      </c>
      <c r="J959" s="222" t="str">
        <f t="shared" si="323"/>
        <v>FY25</v>
      </c>
      <c r="K959" s="222" t="s">
        <v>843</v>
      </c>
      <c r="L959" s="222" t="s">
        <v>844</v>
      </c>
      <c r="M959" s="222" t="s">
        <v>845</v>
      </c>
      <c r="N959" s="222" t="s">
        <v>846</v>
      </c>
      <c r="O959" s="222" t="s">
        <v>731</v>
      </c>
      <c r="P959" s="222" t="s">
        <v>582</v>
      </c>
      <c r="Q959" s="222" t="str">
        <f t="shared" si="324"/>
        <v>FCCS_ClosingBalance_Input</v>
      </c>
      <c r="R959" s="222" t="s">
        <v>169</v>
      </c>
      <c r="S959" s="222" t="s">
        <v>848</v>
      </c>
      <c r="T959" s="222" t="s">
        <v>850</v>
      </c>
    </row>
    <row r="960" spans="2:20" x14ac:dyDescent="0.3">
      <c r="B960" s="219" t="s">
        <v>1014</v>
      </c>
      <c r="C960" s="219" t="s">
        <v>922</v>
      </c>
      <c r="D960" s="221" t="str">
        <f>[2]!HsSetValue(E960,"FCC","Scenario#"&amp;R960&amp;";Years#"&amp;J960&amp;";Period#"&amp;I960&amp;";View#"&amp;S960&amp;";Entity#"&amp;H960&amp;";Data Source#"&amp;K960&amp;";Account#"&amp;F960&amp;";Intercompany#"&amp;L960&amp;";Movement#"&amp;Q960&amp;";Consolidation#"&amp;T960&amp;";Custom1#"&amp;M960&amp;";Custom2#"&amp;N960&amp;";Custom3#"&amp;O960&amp;";Custom4#"&amp;P960&amp;"")</f>
        <v>#Invalid Syntax</v>
      </c>
      <c r="E960" s="221">
        <f>SUMIFS('Investment Analysis'!$H$22:$H$69,'Investment Analysis'!$E$22:$E$69,"US Agencies Obligations-Explicitly Guaranteed",'Investment Analysis'!$AK$22:$AK$69,"24")</f>
        <v>0</v>
      </c>
      <c r="F960" s="222" t="s">
        <v>675</v>
      </c>
      <c r="G960" s="222" t="s">
        <v>1042</v>
      </c>
      <c r="H960" s="223" t="e">
        <f>+H$2</f>
        <v>#N/A</v>
      </c>
      <c r="I960" s="223" t="str">
        <f t="shared" si="323"/>
        <v>Jun</v>
      </c>
      <c r="J960" s="222" t="str">
        <f t="shared" si="323"/>
        <v>FY25</v>
      </c>
      <c r="K960" s="222" t="s">
        <v>843</v>
      </c>
      <c r="L960" s="222" t="s">
        <v>844</v>
      </c>
      <c r="M960" s="222" t="s">
        <v>845</v>
      </c>
      <c r="N960" s="222" t="s">
        <v>846</v>
      </c>
      <c r="O960" s="222" t="s">
        <v>732</v>
      </c>
      <c r="P960" s="222" t="s">
        <v>582</v>
      </c>
      <c r="Q960" s="222" t="str">
        <f t="shared" si="324"/>
        <v>FCCS_ClosingBalance_Input</v>
      </c>
      <c r="R960" s="222" t="s">
        <v>169</v>
      </c>
      <c r="S960" s="222" t="s">
        <v>848</v>
      </c>
      <c r="T960" s="222" t="s">
        <v>850</v>
      </c>
    </row>
    <row r="961" spans="2:20" x14ac:dyDescent="0.3">
      <c r="B961" s="219" t="s">
        <v>1014</v>
      </c>
      <c r="C961" s="219" t="s">
        <v>922</v>
      </c>
      <c r="D961" s="221" t="str">
        <f>[2]!HsSetValue(E961,"FCC","Scenario#"&amp;R961&amp;";Years#"&amp;J961&amp;";Period#"&amp;I961&amp;";View#"&amp;S961&amp;";Entity#"&amp;H961&amp;";Data Source#"&amp;K961&amp;";Account#"&amp;F961&amp;";Intercompany#"&amp;L961&amp;";Movement#"&amp;Q961&amp;";Consolidation#"&amp;T961&amp;";Custom1#"&amp;M961&amp;";Custom2#"&amp;N961&amp;";Custom3#"&amp;O961&amp;";Custom4#"&amp;P961&amp;"")</f>
        <v>#Invalid Syntax</v>
      </c>
      <c r="E961" s="221">
        <f>SUMIFS('Investment Analysis'!$H$22:$H$69,'Investment Analysis'!$E$22:$E$69,"US Agencies Obligations-Explicitly Guaranteed",'Investment Analysis'!$AK$22:$AK$69,"25")</f>
        <v>0</v>
      </c>
      <c r="F961" s="222" t="s">
        <v>675</v>
      </c>
      <c r="G961" s="222" t="s">
        <v>1042</v>
      </c>
      <c r="H961" s="223" t="e">
        <f>+H$2</f>
        <v>#N/A</v>
      </c>
      <c r="I961" s="223" t="str">
        <f t="shared" si="323"/>
        <v>Jun</v>
      </c>
      <c r="J961" s="222" t="str">
        <f t="shared" si="323"/>
        <v>FY25</v>
      </c>
      <c r="K961" s="222" t="s">
        <v>843</v>
      </c>
      <c r="L961" s="222" t="s">
        <v>844</v>
      </c>
      <c r="M961" s="222" t="s">
        <v>845</v>
      </c>
      <c r="N961" s="222" t="s">
        <v>846</v>
      </c>
      <c r="O961" s="222" t="s">
        <v>733</v>
      </c>
      <c r="P961" s="222" t="s">
        <v>582</v>
      </c>
      <c r="Q961" s="222" t="str">
        <f t="shared" si="324"/>
        <v>FCCS_ClosingBalance_Input</v>
      </c>
      <c r="R961" s="222" t="s">
        <v>169</v>
      </c>
      <c r="S961" s="222" t="s">
        <v>848</v>
      </c>
      <c r="T961" s="222" t="s">
        <v>850</v>
      </c>
    </row>
    <row r="962" spans="2:20" outlineLevel="1" x14ac:dyDescent="0.3">
      <c r="B962" s="210"/>
      <c r="C962" s="210"/>
      <c r="D962" s="212"/>
      <c r="E962" s="212"/>
    </row>
    <row r="963" spans="2:20" x14ac:dyDescent="0.3">
      <c r="B963" s="364" t="s">
        <v>668</v>
      </c>
      <c r="C963" s="364" t="s">
        <v>895</v>
      </c>
      <c r="D963" s="366" t="str">
        <f>[2]!HsSetValue(E963,"FCC","Scenario#"&amp;R963&amp;";Years#"&amp;J963&amp;";Period#"&amp;I963&amp;";View#"&amp;S963&amp;";Entity#"&amp;H963&amp;";Data Source#"&amp;K963&amp;";Account#"&amp;F963&amp;";Intercompany#"&amp;L963&amp;";Movement#"&amp;Q963&amp;";Consolidation#"&amp;T963&amp;";Custom1#"&amp;M963&amp;";Custom2#"&amp;N963&amp;";Custom3#"&amp;O963&amp;";Custom4#"&amp;P963&amp;"")</f>
        <v>#Invalid Syntax</v>
      </c>
      <c r="E963" s="366">
        <f>SUMIF('Investment Analysis'!$E$22:$E$69,'FCC Investments - Load Tab'!C963,'Investment Analysis'!$K$22:$K$69)</f>
        <v>0</v>
      </c>
      <c r="F963" s="367" t="s">
        <v>673</v>
      </c>
      <c r="G963" s="367" t="s">
        <v>961</v>
      </c>
      <c r="H963" s="368" t="e">
        <f>+H$2</f>
        <v>#N/A</v>
      </c>
      <c r="I963" s="368" t="str">
        <f t="shared" ref="I963:I967" si="325">+I$2</f>
        <v>Jun</v>
      </c>
      <c r="J963" s="367" t="str">
        <f t="shared" si="323"/>
        <v>FY25</v>
      </c>
      <c r="K963" s="367" t="s">
        <v>843</v>
      </c>
      <c r="L963" s="367" t="s">
        <v>844</v>
      </c>
      <c r="M963" s="367" t="s">
        <v>845</v>
      </c>
      <c r="N963" s="367" t="s">
        <v>846</v>
      </c>
      <c r="O963" s="367" t="s">
        <v>721</v>
      </c>
      <c r="P963" s="367" t="s">
        <v>583</v>
      </c>
      <c r="Q963" s="367" t="str">
        <f t="shared" ref="Q963:Q967" si="326">Q$2</f>
        <v>FCCS_ClosingBalance_Input</v>
      </c>
      <c r="R963" s="367" t="s">
        <v>169</v>
      </c>
      <c r="S963" s="367" t="s">
        <v>848</v>
      </c>
      <c r="T963" s="367" t="s">
        <v>850</v>
      </c>
    </row>
    <row r="964" spans="2:20" x14ac:dyDescent="0.3">
      <c r="B964" s="364" t="s">
        <v>668</v>
      </c>
      <c r="C964" s="364" t="s">
        <v>895</v>
      </c>
      <c r="D964" s="366" t="str">
        <f>[2]!HsSetValue(E964,"FCC","Scenario#"&amp;R964&amp;";Years#"&amp;J964&amp;";Period#"&amp;I964&amp;";View#"&amp;S964&amp;";Entity#"&amp;H964&amp;";Data Source#"&amp;K964&amp;";Account#"&amp;F964&amp;";Intercompany#"&amp;L964&amp;";Movement#"&amp;Q964&amp;";Consolidation#"&amp;T964&amp;";Custom1#"&amp;M964&amp;";Custom2#"&amp;N964&amp;";Custom3#"&amp;O964&amp;";Custom4#"&amp;P964&amp;"")</f>
        <v>#Invalid Syntax</v>
      </c>
      <c r="E964" s="366">
        <f>SUMIF('Investment Analysis'!$E$22:$E$69,'FCC Investments - Load Tab'!C963,'Investment Analysis'!$L$22:$L$69)</f>
        <v>0</v>
      </c>
      <c r="F964" s="367" t="s">
        <v>673</v>
      </c>
      <c r="G964" s="367" t="s">
        <v>961</v>
      </c>
      <c r="H964" s="368" t="e">
        <f>+H$2</f>
        <v>#N/A</v>
      </c>
      <c r="I964" s="368" t="str">
        <f t="shared" si="325"/>
        <v>Jun</v>
      </c>
      <c r="J964" s="367" t="str">
        <f t="shared" si="323"/>
        <v>FY25</v>
      </c>
      <c r="K964" s="367" t="s">
        <v>843</v>
      </c>
      <c r="L964" s="367" t="s">
        <v>844</v>
      </c>
      <c r="M964" s="367" t="s">
        <v>845</v>
      </c>
      <c r="N964" s="367" t="s">
        <v>846</v>
      </c>
      <c r="O964" s="367" t="s">
        <v>722</v>
      </c>
      <c r="P964" s="367" t="s">
        <v>583</v>
      </c>
      <c r="Q964" s="367" t="str">
        <f t="shared" si="326"/>
        <v>FCCS_ClosingBalance_Input</v>
      </c>
      <c r="R964" s="367" t="s">
        <v>169</v>
      </c>
      <c r="S964" s="367" t="s">
        <v>848</v>
      </c>
      <c r="T964" s="367" t="s">
        <v>850</v>
      </c>
    </row>
    <row r="965" spans="2:20" x14ac:dyDescent="0.3">
      <c r="B965" s="364" t="s">
        <v>668</v>
      </c>
      <c r="C965" s="364" t="s">
        <v>895</v>
      </c>
      <c r="D965" s="366" t="str">
        <f>[2]!HsSetValue(E965,"FCC","Scenario#"&amp;R965&amp;";Years#"&amp;J965&amp;";Period#"&amp;I965&amp;";View#"&amp;S965&amp;";Entity#"&amp;H965&amp;";Data Source#"&amp;K965&amp;";Account#"&amp;F965&amp;";Intercompany#"&amp;L965&amp;";Movement#"&amp;Q965&amp;";Consolidation#"&amp;T965&amp;";Custom1#"&amp;M965&amp;";Custom2#"&amp;N965&amp;";Custom3#"&amp;O965&amp;";Custom4#"&amp;P965&amp;"")</f>
        <v>#Invalid Syntax</v>
      </c>
      <c r="E965" s="366">
        <f>SUMIF('Investment Analysis'!$E$22:$E$69,'FCC Investments - Load Tab'!C963,'Investment Analysis'!$M$22:$M$69)</f>
        <v>0</v>
      </c>
      <c r="F965" s="367" t="s">
        <v>673</v>
      </c>
      <c r="G965" s="367" t="s">
        <v>961</v>
      </c>
      <c r="H965" s="368" t="e">
        <f>+H$2</f>
        <v>#N/A</v>
      </c>
      <c r="I965" s="368" t="str">
        <f t="shared" si="325"/>
        <v>Jun</v>
      </c>
      <c r="J965" s="367" t="str">
        <f t="shared" si="323"/>
        <v>FY25</v>
      </c>
      <c r="K965" s="367" t="s">
        <v>843</v>
      </c>
      <c r="L965" s="367" t="s">
        <v>844</v>
      </c>
      <c r="M965" s="367" t="s">
        <v>845</v>
      </c>
      <c r="N965" s="367" t="s">
        <v>846</v>
      </c>
      <c r="O965" s="367" t="s">
        <v>723</v>
      </c>
      <c r="P965" s="367" t="s">
        <v>583</v>
      </c>
      <c r="Q965" s="367" t="str">
        <f t="shared" si="326"/>
        <v>FCCS_ClosingBalance_Input</v>
      </c>
      <c r="R965" s="367" t="s">
        <v>169</v>
      </c>
      <c r="S965" s="367" t="s">
        <v>848</v>
      </c>
      <c r="T965" s="367" t="s">
        <v>850</v>
      </c>
    </row>
    <row r="966" spans="2:20" x14ac:dyDescent="0.3">
      <c r="B966" s="364" t="s">
        <v>668</v>
      </c>
      <c r="C966" s="364" t="s">
        <v>895</v>
      </c>
      <c r="D966" s="366" t="str">
        <f>[2]!HsSetValue(E966,"FCC","Scenario#"&amp;R966&amp;";Years#"&amp;J966&amp;";Period#"&amp;I966&amp;";View#"&amp;S966&amp;";Entity#"&amp;H966&amp;";Data Source#"&amp;K966&amp;";Account#"&amp;F966&amp;";Intercompany#"&amp;L966&amp;";Movement#"&amp;Q966&amp;";Consolidation#"&amp;T966&amp;";Custom1#"&amp;M966&amp;";Custom2#"&amp;N966&amp;";Custom3#"&amp;O966&amp;";Custom4#"&amp;P966&amp;"")</f>
        <v>#Invalid Syntax</v>
      </c>
      <c r="E966" s="366">
        <f>SUMIF('Investment Analysis'!$E$22:$E$69,'FCC Investments - Load Tab'!C966,'Investment Analysis'!$N$22:$N$69)</f>
        <v>0</v>
      </c>
      <c r="F966" s="367" t="s">
        <v>673</v>
      </c>
      <c r="G966" s="367" t="s">
        <v>961</v>
      </c>
      <c r="H966" s="368" t="e">
        <f>+H$2</f>
        <v>#N/A</v>
      </c>
      <c r="I966" s="368" t="str">
        <f t="shared" si="325"/>
        <v>Jun</v>
      </c>
      <c r="J966" s="367" t="str">
        <f t="shared" si="323"/>
        <v>FY25</v>
      </c>
      <c r="K966" s="367" t="s">
        <v>843</v>
      </c>
      <c r="L966" s="367" t="s">
        <v>844</v>
      </c>
      <c r="M966" s="367" t="s">
        <v>845</v>
      </c>
      <c r="N966" s="367" t="s">
        <v>846</v>
      </c>
      <c r="O966" s="367" t="s">
        <v>724</v>
      </c>
      <c r="P966" s="367" t="s">
        <v>583</v>
      </c>
      <c r="Q966" s="367" t="str">
        <f t="shared" si="326"/>
        <v>FCCS_ClosingBalance_Input</v>
      </c>
      <c r="R966" s="367" t="s">
        <v>169</v>
      </c>
      <c r="S966" s="367" t="s">
        <v>848</v>
      </c>
      <c r="T966" s="367" t="s">
        <v>850</v>
      </c>
    </row>
    <row r="967" spans="2:20" x14ac:dyDescent="0.3">
      <c r="B967" s="364" t="s">
        <v>668</v>
      </c>
      <c r="C967" s="364" t="s">
        <v>895</v>
      </c>
      <c r="D967" s="366" t="str">
        <f>[2]!HsSetValue(E967,"FCC","Scenario#"&amp;R967&amp;";Years#"&amp;J967&amp;";Period#"&amp;I967&amp;";View#"&amp;S967&amp;";Entity#"&amp;H967&amp;";Data Source#"&amp;K967&amp;";Account#"&amp;F967&amp;";Intercompany#"&amp;L967&amp;";Movement#"&amp;Q967&amp;";Consolidation#"&amp;T967&amp;";Custom1#"&amp;M967&amp;";Custom2#"&amp;N967&amp;";Custom3#"&amp;O967&amp;";Custom4#"&amp;P967&amp;"")</f>
        <v>#Invalid Syntax</v>
      </c>
      <c r="E967" s="366">
        <f>SUMIF('Investment Analysis'!$E$2:$E$69,'FCC Investments - Load Tab'!C967,'Investment Analysis'!$O$2:$O$69)</f>
        <v>0</v>
      </c>
      <c r="F967" s="367" t="s">
        <v>673</v>
      </c>
      <c r="G967" s="367" t="s">
        <v>961</v>
      </c>
      <c r="H967" s="368" t="e">
        <f>+H$2</f>
        <v>#N/A</v>
      </c>
      <c r="I967" s="368" t="str">
        <f t="shared" si="325"/>
        <v>Jun</v>
      </c>
      <c r="J967" s="367" t="str">
        <f t="shared" si="323"/>
        <v>FY25</v>
      </c>
      <c r="K967" s="367" t="s">
        <v>843</v>
      </c>
      <c r="L967" s="367" t="s">
        <v>844</v>
      </c>
      <c r="M967" s="367" t="s">
        <v>845</v>
      </c>
      <c r="N967" s="367" t="s">
        <v>846</v>
      </c>
      <c r="O967" s="367" t="s">
        <v>725</v>
      </c>
      <c r="P967" s="367" t="s">
        <v>583</v>
      </c>
      <c r="Q967" s="367" t="str">
        <f t="shared" si="326"/>
        <v>FCCS_ClosingBalance_Input</v>
      </c>
      <c r="R967" s="367" t="s">
        <v>169</v>
      </c>
      <c r="S967" s="367" t="s">
        <v>848</v>
      </c>
      <c r="T967" s="367" t="s">
        <v>850</v>
      </c>
    </row>
    <row r="968" spans="2:20" x14ac:dyDescent="0.3">
      <c r="B968" s="210"/>
      <c r="C968" s="210"/>
      <c r="D968" s="212"/>
      <c r="E968" s="212"/>
    </row>
    <row r="969" spans="2:20" x14ac:dyDescent="0.3">
      <c r="B969" s="214" t="s">
        <v>667</v>
      </c>
      <c r="C969" s="214" t="s">
        <v>895</v>
      </c>
      <c r="D969" s="216" t="str">
        <f>[2]!HsSetValue(E969,"FCC","Scenario#"&amp;R969&amp;";Years#"&amp;J969&amp;";Period#"&amp;I969&amp;";View#"&amp;S969&amp;";Entity#"&amp;H969&amp;";Data Source#"&amp;K969&amp;";Account#"&amp;F969&amp;";Intercompany#"&amp;L969&amp;";Movement#"&amp;Q969&amp;";Consolidation#"&amp;T969&amp;";Custom1#"&amp;M969&amp;";Custom2#"&amp;N969&amp;";Custom3#"&amp;O969&amp;";Custom4#"&amp;P969&amp;"")</f>
        <v>#Invalid Syntax</v>
      </c>
      <c r="E969" s="216">
        <f>SUMIFS('Investment Analysis'!$H$22:$H$69,'Investment Analysis'!$E$22:$E$69,"US Agencies Obligations",'Investment Analysis'!$AB$22:$AB$69,"10")</f>
        <v>0</v>
      </c>
      <c r="F969" s="217" t="s">
        <v>674</v>
      </c>
      <c r="G969" s="217" t="s">
        <v>1071</v>
      </c>
      <c r="H969" s="218" t="e">
        <f t="shared" ref="H969:N984" si="327">+H$2</f>
        <v>#N/A</v>
      </c>
      <c r="I969" s="218" t="str">
        <f t="shared" si="327"/>
        <v>Jun</v>
      </c>
      <c r="J969" s="217" t="str">
        <f t="shared" si="323"/>
        <v>FY25</v>
      </c>
      <c r="K969" s="217" t="s">
        <v>843</v>
      </c>
      <c r="L969" s="217" t="s">
        <v>844</v>
      </c>
      <c r="M969" s="217" t="s">
        <v>845</v>
      </c>
      <c r="N969" s="217" t="s">
        <v>846</v>
      </c>
      <c r="O969" s="217" t="s">
        <v>433</v>
      </c>
      <c r="P969" s="217" t="s">
        <v>583</v>
      </c>
      <c r="Q969" s="217" t="str">
        <f t="shared" ref="Q969:Q982" si="328">Q$2</f>
        <v>FCCS_ClosingBalance_Input</v>
      </c>
      <c r="R969" s="217" t="s">
        <v>169</v>
      </c>
      <c r="S969" s="217" t="s">
        <v>848</v>
      </c>
      <c r="T969" s="217" t="s">
        <v>850</v>
      </c>
    </row>
    <row r="970" spans="2:20" x14ac:dyDescent="0.3">
      <c r="B970" s="214" t="s">
        <v>667</v>
      </c>
      <c r="C970" s="214" t="s">
        <v>895</v>
      </c>
      <c r="D970" s="216" t="str">
        <f>[2]!HsSetValue(E970,"FCC","Scenario#"&amp;R970&amp;";Years#"&amp;J970&amp;";Period#"&amp;I970&amp;";View#"&amp;S970&amp;";Entity#"&amp;H970&amp;";Data Source#"&amp;K970&amp;";Account#"&amp;F970&amp;";Intercompany#"&amp;L970&amp;";Movement#"&amp;Q970&amp;";Consolidation#"&amp;T970&amp;";Custom1#"&amp;M970&amp;";Custom2#"&amp;N970&amp;";Custom3#"&amp;O970&amp;";Custom4#"&amp;P970&amp;"")</f>
        <v>#Invalid Syntax</v>
      </c>
      <c r="E970" s="216">
        <f>SUMIFS('Investment Analysis'!$H$22:$H$69,'Investment Analysis'!$E$22:$E$69,"US Agencies Obligations",'Investment Analysis'!$AB$22:$AB$69,"9")</f>
        <v>0</v>
      </c>
      <c r="F970" s="217" t="s">
        <v>674</v>
      </c>
      <c r="G970" s="217" t="s">
        <v>1071</v>
      </c>
      <c r="H970" s="218" t="e">
        <f t="shared" si="327"/>
        <v>#N/A</v>
      </c>
      <c r="I970" s="218" t="str">
        <f t="shared" si="327"/>
        <v>Jun</v>
      </c>
      <c r="J970" s="217" t="str">
        <f t="shared" si="323"/>
        <v>FY25</v>
      </c>
      <c r="K970" s="217" t="s">
        <v>843</v>
      </c>
      <c r="L970" s="217" t="s">
        <v>844</v>
      </c>
      <c r="M970" s="217" t="s">
        <v>845</v>
      </c>
      <c r="N970" s="217" t="s">
        <v>846</v>
      </c>
      <c r="O970" s="217" t="s">
        <v>596</v>
      </c>
      <c r="P970" s="217" t="s">
        <v>583</v>
      </c>
      <c r="Q970" s="217" t="str">
        <f t="shared" si="328"/>
        <v>FCCS_ClosingBalance_Input</v>
      </c>
      <c r="R970" s="217" t="s">
        <v>169</v>
      </c>
      <c r="S970" s="217" t="s">
        <v>848</v>
      </c>
      <c r="T970" s="217" t="s">
        <v>850</v>
      </c>
    </row>
    <row r="971" spans="2:20" x14ac:dyDescent="0.3">
      <c r="B971" s="214" t="s">
        <v>667</v>
      </c>
      <c r="C971" s="214" t="s">
        <v>895</v>
      </c>
      <c r="D971" s="216" t="str">
        <f>[2]!HsSetValue(E971,"FCC","Scenario#"&amp;R971&amp;";Years#"&amp;J971&amp;";Period#"&amp;I971&amp;";View#"&amp;S971&amp;";Entity#"&amp;H971&amp;";Data Source#"&amp;K971&amp;";Account#"&amp;F971&amp;";Intercompany#"&amp;L971&amp;";Movement#"&amp;Q971&amp;";Consolidation#"&amp;T971&amp;";Custom1#"&amp;M971&amp;";Custom2#"&amp;N971&amp;";Custom3#"&amp;O971&amp;";Custom4#"&amp;P971&amp;"")</f>
        <v>#Invalid Syntax</v>
      </c>
      <c r="E971" s="216">
        <f>SUMIFS('Investment Analysis'!$H$22:$H$69,'Investment Analysis'!$E$22:$E$69,"US Agencies Obligations",'Investment Analysis'!$AB$22:$AB$69,"8")</f>
        <v>0</v>
      </c>
      <c r="F971" s="217" t="s">
        <v>674</v>
      </c>
      <c r="G971" s="217" t="s">
        <v>1071</v>
      </c>
      <c r="H971" s="218" t="e">
        <f t="shared" si="327"/>
        <v>#N/A</v>
      </c>
      <c r="I971" s="218" t="str">
        <f t="shared" si="327"/>
        <v>Jun</v>
      </c>
      <c r="J971" s="217" t="str">
        <f t="shared" si="323"/>
        <v>FY25</v>
      </c>
      <c r="K971" s="217" t="s">
        <v>843</v>
      </c>
      <c r="L971" s="217" t="s">
        <v>844</v>
      </c>
      <c r="M971" s="217" t="s">
        <v>845</v>
      </c>
      <c r="N971" s="217" t="s">
        <v>846</v>
      </c>
      <c r="O971" s="217" t="s">
        <v>61</v>
      </c>
      <c r="P971" s="217" t="s">
        <v>583</v>
      </c>
      <c r="Q971" s="217" t="str">
        <f t="shared" si="328"/>
        <v>FCCS_ClosingBalance_Input</v>
      </c>
      <c r="R971" s="217" t="s">
        <v>169</v>
      </c>
      <c r="S971" s="217" t="s">
        <v>848</v>
      </c>
      <c r="T971" s="217" t="s">
        <v>850</v>
      </c>
    </row>
    <row r="972" spans="2:20" x14ac:dyDescent="0.3">
      <c r="B972" s="214" t="s">
        <v>667</v>
      </c>
      <c r="C972" s="214" t="s">
        <v>895</v>
      </c>
      <c r="D972" s="216" t="str">
        <f>[2]!HsSetValue(E972,"FCC","Scenario#"&amp;R972&amp;";Years#"&amp;J972&amp;";Period#"&amp;I972&amp;";View#"&amp;S972&amp;";Entity#"&amp;H972&amp;";Data Source#"&amp;K972&amp;";Account#"&amp;F972&amp;";Intercompany#"&amp;L972&amp;";Movement#"&amp;Q972&amp;";Consolidation#"&amp;T972&amp;";Custom1#"&amp;M972&amp;";Custom2#"&amp;N972&amp;";Custom3#"&amp;O972&amp;";Custom4#"&amp;P972&amp;"")</f>
        <v>#Invalid Syntax</v>
      </c>
      <c r="E972" s="216">
        <f>SUMIFS('Investment Analysis'!$H$22:$H$69,'Investment Analysis'!$E$22:$E$69,"US Agencies Obligations",'Investment Analysis'!$AB$22:$AB$69,"7")</f>
        <v>0</v>
      </c>
      <c r="F972" s="217" t="s">
        <v>674</v>
      </c>
      <c r="G972" s="217" t="s">
        <v>1071</v>
      </c>
      <c r="H972" s="218" t="e">
        <f t="shared" si="327"/>
        <v>#N/A</v>
      </c>
      <c r="I972" s="218" t="str">
        <f t="shared" si="327"/>
        <v>Jun</v>
      </c>
      <c r="J972" s="217" t="str">
        <f t="shared" si="323"/>
        <v>FY25</v>
      </c>
      <c r="K972" s="217" t="s">
        <v>843</v>
      </c>
      <c r="L972" s="217" t="s">
        <v>844</v>
      </c>
      <c r="M972" s="217" t="s">
        <v>845</v>
      </c>
      <c r="N972" s="217" t="s">
        <v>846</v>
      </c>
      <c r="O972" s="217" t="s">
        <v>62</v>
      </c>
      <c r="P972" s="217" t="s">
        <v>583</v>
      </c>
      <c r="Q972" s="217" t="str">
        <f t="shared" si="328"/>
        <v>FCCS_ClosingBalance_Input</v>
      </c>
      <c r="R972" s="217" t="s">
        <v>169</v>
      </c>
      <c r="S972" s="217" t="s">
        <v>848</v>
      </c>
      <c r="T972" s="217" t="s">
        <v>850</v>
      </c>
    </row>
    <row r="973" spans="2:20" x14ac:dyDescent="0.3">
      <c r="B973" s="214" t="s">
        <v>667</v>
      </c>
      <c r="C973" s="214" t="s">
        <v>895</v>
      </c>
      <c r="D973" s="216" t="str">
        <f>[2]!HsSetValue(E973,"FCC","Scenario#"&amp;R973&amp;";Years#"&amp;J973&amp;";Period#"&amp;I973&amp;";View#"&amp;S973&amp;";Entity#"&amp;H973&amp;";Data Source#"&amp;K973&amp;";Account#"&amp;F973&amp;";Intercompany#"&amp;L973&amp;";Movement#"&amp;Q973&amp;";Consolidation#"&amp;T973&amp;";Custom1#"&amp;M973&amp;";Custom2#"&amp;N973&amp;";Custom3#"&amp;O973&amp;";Custom4#"&amp;P973&amp;"")</f>
        <v>#Invalid Syntax</v>
      </c>
      <c r="E973" s="216">
        <f>SUMIFS('Investment Analysis'!$H$22:$H$69,'Investment Analysis'!$E$22:$E$69,"US Agencies Obligations",'Investment Analysis'!$AB$22:$AB$69,"6")</f>
        <v>0</v>
      </c>
      <c r="F973" s="217" t="s">
        <v>674</v>
      </c>
      <c r="G973" s="217" t="s">
        <v>1071</v>
      </c>
      <c r="H973" s="218" t="e">
        <f t="shared" si="327"/>
        <v>#N/A</v>
      </c>
      <c r="I973" s="218" t="str">
        <f t="shared" si="327"/>
        <v>Jun</v>
      </c>
      <c r="J973" s="217" t="str">
        <f t="shared" si="327"/>
        <v>FY25</v>
      </c>
      <c r="K973" s="217" t="s">
        <v>843</v>
      </c>
      <c r="L973" s="217" t="s">
        <v>844</v>
      </c>
      <c r="M973" s="217" t="s">
        <v>845</v>
      </c>
      <c r="N973" s="217" t="s">
        <v>846</v>
      </c>
      <c r="O973" s="217" t="s">
        <v>436</v>
      </c>
      <c r="P973" s="217" t="s">
        <v>583</v>
      </c>
      <c r="Q973" s="217" t="str">
        <f t="shared" si="328"/>
        <v>FCCS_ClosingBalance_Input</v>
      </c>
      <c r="R973" s="217" t="s">
        <v>169</v>
      </c>
      <c r="S973" s="217" t="s">
        <v>848</v>
      </c>
      <c r="T973" s="217" t="s">
        <v>850</v>
      </c>
    </row>
    <row r="974" spans="2:20" s="371" customFormat="1" x14ac:dyDescent="0.3">
      <c r="B974" s="214" t="s">
        <v>667</v>
      </c>
      <c r="C974" s="214" t="s">
        <v>895</v>
      </c>
      <c r="D974" s="216" t="str">
        <f>[2]!HsSetValue(E974,"FCC","Scenario#"&amp;R974&amp;";Years#"&amp;J974&amp;";Period#"&amp;I974&amp;";View#"&amp;S974&amp;";Entity#"&amp;H974&amp;";Data Source#"&amp;K974&amp;";Account#"&amp;F974&amp;";Intercompany#"&amp;L974&amp;";Movement#"&amp;Q974&amp;";Consolidation#"&amp;T974&amp;";Custom1#"&amp;M974&amp;";Custom2#"&amp;N974&amp;";Custom3#"&amp;O974&amp;";Custom4#"&amp;P974&amp;"")</f>
        <v>#Invalid Syntax</v>
      </c>
      <c r="E974" s="216">
        <f>SUMIFS('Investment Analysis'!$H$22:$H$69,'Investment Analysis'!$E$22:$E$69,"US Agencies Obligations",'Investment Analysis'!$AB$22:$AB$69,"5")</f>
        <v>0</v>
      </c>
      <c r="F974" s="217" t="s">
        <v>674</v>
      </c>
      <c r="G974" s="217" t="s">
        <v>1071</v>
      </c>
      <c r="H974" s="218" t="e">
        <f t="shared" si="327"/>
        <v>#N/A</v>
      </c>
      <c r="I974" s="218" t="str">
        <f t="shared" si="327"/>
        <v>Jun</v>
      </c>
      <c r="J974" s="217" t="str">
        <f t="shared" si="327"/>
        <v>FY25</v>
      </c>
      <c r="K974" s="217" t="str">
        <f t="shared" si="327"/>
        <v>FCCS_Other Data</v>
      </c>
      <c r="L974" s="217" t="str">
        <f t="shared" si="327"/>
        <v>FCCS_No Intercompany</v>
      </c>
      <c r="M974" s="217" t="str">
        <f>+M$1</f>
        <v>No Custom1</v>
      </c>
      <c r="N974" s="217" t="str">
        <f t="shared" si="327"/>
        <v>No Custom2</v>
      </c>
      <c r="O974" s="217" t="s">
        <v>434</v>
      </c>
      <c r="P974" s="217" t="s">
        <v>583</v>
      </c>
      <c r="Q974" s="217" t="str">
        <f t="shared" si="328"/>
        <v>FCCS_ClosingBalance_Input</v>
      </c>
      <c r="R974" s="217" t="str">
        <f t="shared" ref="R974:S978" si="329">+R$2</f>
        <v>Actual</v>
      </c>
      <c r="S974" s="217" t="str">
        <f t="shared" si="329"/>
        <v>FCCS_YTD_Input</v>
      </c>
      <c r="T974" s="217" t="s">
        <v>850</v>
      </c>
    </row>
    <row r="975" spans="2:20" s="371" customFormat="1" x14ac:dyDescent="0.3">
      <c r="B975" s="214" t="s">
        <v>667</v>
      </c>
      <c r="C975" s="214" t="s">
        <v>895</v>
      </c>
      <c r="D975" s="216" t="str">
        <f>[2]!HsSetValue(E975,"FCC","Scenario#"&amp;R975&amp;";Years#"&amp;J975&amp;";Period#"&amp;I975&amp;";View#"&amp;S975&amp;";Entity#"&amp;H975&amp;";Data Source#"&amp;K975&amp;";Account#"&amp;F975&amp;";Intercompany#"&amp;L975&amp;";Movement#"&amp;Q975&amp;";Consolidation#"&amp;T975&amp;";Custom1#"&amp;M975&amp;";Custom2#"&amp;N975&amp;";Custom3#"&amp;O975&amp;";Custom4#"&amp;P975&amp;"")</f>
        <v>#Invalid Syntax</v>
      </c>
      <c r="E975" s="216">
        <f>SUMIFS('Investment Analysis'!$H$22:$H$69,'Investment Analysis'!$E$22:$E$69,"US Agencies Obligations",'Investment Analysis'!$AB$22:$AB$69,"4")</f>
        <v>0</v>
      </c>
      <c r="F975" s="217" t="s">
        <v>674</v>
      </c>
      <c r="G975" s="217" t="s">
        <v>1071</v>
      </c>
      <c r="H975" s="218" t="e">
        <f t="shared" si="327"/>
        <v>#N/A</v>
      </c>
      <c r="I975" s="218" t="str">
        <f t="shared" si="327"/>
        <v>Jun</v>
      </c>
      <c r="J975" s="217" t="str">
        <f t="shared" si="327"/>
        <v>FY25</v>
      </c>
      <c r="K975" s="217" t="str">
        <f t="shared" si="327"/>
        <v>FCCS_Other Data</v>
      </c>
      <c r="L975" s="217" t="str">
        <f t="shared" si="327"/>
        <v>FCCS_No Intercompany</v>
      </c>
      <c r="M975" s="217" t="str">
        <f>+M$1</f>
        <v>No Custom1</v>
      </c>
      <c r="N975" s="217" t="str">
        <f t="shared" si="327"/>
        <v>No Custom2</v>
      </c>
      <c r="O975" s="217" t="s">
        <v>63</v>
      </c>
      <c r="P975" s="217" t="s">
        <v>583</v>
      </c>
      <c r="Q975" s="217" t="str">
        <f t="shared" si="328"/>
        <v>FCCS_ClosingBalance_Input</v>
      </c>
      <c r="R975" s="217" t="str">
        <f t="shared" si="329"/>
        <v>Actual</v>
      </c>
      <c r="S975" s="217" t="str">
        <f t="shared" si="329"/>
        <v>FCCS_YTD_Input</v>
      </c>
      <c r="T975" s="217" t="s">
        <v>850</v>
      </c>
    </row>
    <row r="976" spans="2:20" s="371" customFormat="1" x14ac:dyDescent="0.3">
      <c r="B976" s="214" t="s">
        <v>667</v>
      </c>
      <c r="C976" s="214" t="s">
        <v>895</v>
      </c>
      <c r="D976" s="216" t="str">
        <f>[2]!HsSetValue(E976,"FCC","Scenario#"&amp;R976&amp;";Years#"&amp;J976&amp;";Period#"&amp;I976&amp;";View#"&amp;S976&amp;";Entity#"&amp;H976&amp;";Data Source#"&amp;K976&amp;";Account#"&amp;F976&amp;";Intercompany#"&amp;L976&amp;";Movement#"&amp;Q976&amp;";Consolidation#"&amp;T976&amp;";Custom1#"&amp;M976&amp;";Custom2#"&amp;N976&amp;";Custom3#"&amp;O976&amp;";Custom4#"&amp;P976&amp;"")</f>
        <v>#Invalid Syntax</v>
      </c>
      <c r="E976" s="216">
        <f>SUMIFS('Investment Analysis'!$H$22:$H$69,'Investment Analysis'!$E$22:$E$69,"US Agencies Obligations",'Investment Analysis'!$AB$22:$AB$69,"3")</f>
        <v>0</v>
      </c>
      <c r="F976" s="217" t="s">
        <v>674</v>
      </c>
      <c r="G976" s="217" t="s">
        <v>1071</v>
      </c>
      <c r="H976" s="218" t="e">
        <f t="shared" si="327"/>
        <v>#N/A</v>
      </c>
      <c r="I976" s="218" t="str">
        <f t="shared" si="327"/>
        <v>Jun</v>
      </c>
      <c r="J976" s="217" t="str">
        <f t="shared" si="327"/>
        <v>FY25</v>
      </c>
      <c r="K976" s="217" t="str">
        <f t="shared" si="327"/>
        <v>FCCS_Other Data</v>
      </c>
      <c r="L976" s="217" t="str">
        <f t="shared" si="327"/>
        <v>FCCS_No Intercompany</v>
      </c>
      <c r="M976" s="217" t="str">
        <f>+M$1</f>
        <v>No Custom1</v>
      </c>
      <c r="N976" s="217" t="str">
        <f t="shared" si="327"/>
        <v>No Custom2</v>
      </c>
      <c r="O976" s="217" t="s">
        <v>622</v>
      </c>
      <c r="P976" s="217" t="s">
        <v>583</v>
      </c>
      <c r="Q976" s="217" t="str">
        <f t="shared" si="328"/>
        <v>FCCS_ClosingBalance_Input</v>
      </c>
      <c r="R976" s="217" t="str">
        <f t="shared" si="329"/>
        <v>Actual</v>
      </c>
      <c r="S976" s="217" t="str">
        <f t="shared" si="329"/>
        <v>FCCS_YTD_Input</v>
      </c>
      <c r="T976" s="217" t="s">
        <v>850</v>
      </c>
    </row>
    <row r="977" spans="2:20" s="371" customFormat="1" x14ac:dyDescent="0.3">
      <c r="B977" s="214" t="s">
        <v>667</v>
      </c>
      <c r="C977" s="214" t="s">
        <v>895</v>
      </c>
      <c r="D977" s="216" t="str">
        <f>[2]!HsSetValue(E977,"FCC","Scenario#"&amp;R977&amp;";Years#"&amp;J977&amp;";Period#"&amp;I977&amp;";View#"&amp;S977&amp;";Entity#"&amp;H977&amp;";Data Source#"&amp;K977&amp;";Account#"&amp;F977&amp;";Intercompany#"&amp;L977&amp;";Movement#"&amp;Q977&amp;";Consolidation#"&amp;T977&amp;";Custom1#"&amp;M977&amp;";Custom2#"&amp;N977&amp;";Custom3#"&amp;O977&amp;";Custom4#"&amp;P977&amp;"")</f>
        <v>#Invalid Syntax</v>
      </c>
      <c r="E977" s="216">
        <f>SUMIFS('Investment Analysis'!$H$22:$H$69,'Investment Analysis'!$E$22:$E$69,"US Agencies Obligations",'Investment Analysis'!$AB$22:$AB$69,"2")</f>
        <v>0</v>
      </c>
      <c r="F977" s="217" t="s">
        <v>674</v>
      </c>
      <c r="G977" s="217" t="s">
        <v>1071</v>
      </c>
      <c r="H977" s="218" t="e">
        <f t="shared" si="327"/>
        <v>#N/A</v>
      </c>
      <c r="I977" s="218" t="str">
        <f t="shared" si="327"/>
        <v>Jun</v>
      </c>
      <c r="J977" s="217" t="str">
        <f t="shared" si="327"/>
        <v>FY25</v>
      </c>
      <c r="K977" s="217" t="str">
        <f t="shared" si="327"/>
        <v>FCCS_Other Data</v>
      </c>
      <c r="L977" s="217" t="str">
        <f t="shared" si="327"/>
        <v>FCCS_No Intercompany</v>
      </c>
      <c r="M977" s="217" t="str">
        <f>+M$1</f>
        <v>No Custom1</v>
      </c>
      <c r="N977" s="217" t="str">
        <f t="shared" si="327"/>
        <v>No Custom2</v>
      </c>
      <c r="O977" s="217" t="s">
        <v>618</v>
      </c>
      <c r="P977" s="217" t="s">
        <v>583</v>
      </c>
      <c r="Q977" s="217" t="str">
        <f t="shared" si="328"/>
        <v>FCCS_ClosingBalance_Input</v>
      </c>
      <c r="R977" s="217" t="str">
        <f t="shared" si="329"/>
        <v>Actual</v>
      </c>
      <c r="S977" s="217" t="str">
        <f t="shared" si="329"/>
        <v>FCCS_YTD_Input</v>
      </c>
      <c r="T977" s="217" t="s">
        <v>850</v>
      </c>
    </row>
    <row r="978" spans="2:20" s="371" customFormat="1" x14ac:dyDescent="0.3">
      <c r="B978" s="214" t="s">
        <v>667</v>
      </c>
      <c r="C978" s="214" t="s">
        <v>895</v>
      </c>
      <c r="D978" s="216" t="str">
        <f>[2]!HsSetValue(E978,"FCC","Scenario#"&amp;R978&amp;";Years#"&amp;J978&amp;";Period#"&amp;I978&amp;";View#"&amp;S978&amp;";Entity#"&amp;H978&amp;";Data Source#"&amp;K978&amp;";Account#"&amp;F978&amp;";Intercompany#"&amp;L978&amp;";Movement#"&amp;Q978&amp;";Consolidation#"&amp;T978&amp;";Custom1#"&amp;M978&amp;";Custom2#"&amp;N978&amp;";Custom3#"&amp;O978&amp;";Custom4#"&amp;P978&amp;"")</f>
        <v>#Invalid Syntax</v>
      </c>
      <c r="E978" s="216">
        <f>SUMIFS('Investment Analysis'!$H$22:$H$69,'Investment Analysis'!$E$22:$E$69,"US Agencies Obligations",'Investment Analysis'!$AB$22:$AB$69,"1")</f>
        <v>0</v>
      </c>
      <c r="F978" s="217" t="s">
        <v>674</v>
      </c>
      <c r="G978" s="217" t="s">
        <v>1071</v>
      </c>
      <c r="H978" s="218" t="e">
        <f t="shared" si="327"/>
        <v>#N/A</v>
      </c>
      <c r="I978" s="218" t="str">
        <f t="shared" si="327"/>
        <v>Jun</v>
      </c>
      <c r="J978" s="217" t="str">
        <f t="shared" si="327"/>
        <v>FY25</v>
      </c>
      <c r="K978" s="217" t="str">
        <f t="shared" si="327"/>
        <v>FCCS_Other Data</v>
      </c>
      <c r="L978" s="217" t="str">
        <f t="shared" si="327"/>
        <v>FCCS_No Intercompany</v>
      </c>
      <c r="M978" s="217" t="str">
        <f>+M$1</f>
        <v>No Custom1</v>
      </c>
      <c r="N978" s="217" t="str">
        <f t="shared" si="327"/>
        <v>No Custom2</v>
      </c>
      <c r="O978" s="217" t="s">
        <v>64</v>
      </c>
      <c r="P978" s="217" t="s">
        <v>583</v>
      </c>
      <c r="Q978" s="217" t="str">
        <f t="shared" si="328"/>
        <v>FCCS_ClosingBalance_Input</v>
      </c>
      <c r="R978" s="217" t="str">
        <f t="shared" si="329"/>
        <v>Actual</v>
      </c>
      <c r="S978" s="217" t="str">
        <f t="shared" si="329"/>
        <v>FCCS_YTD_Input</v>
      </c>
      <c r="T978" s="217" t="s">
        <v>850</v>
      </c>
    </row>
    <row r="979" spans="2:20" x14ac:dyDescent="0.3">
      <c r="B979" s="214" t="s">
        <v>667</v>
      </c>
      <c r="C979" s="214" t="s">
        <v>895</v>
      </c>
      <c r="D979" s="216" t="str">
        <f>[2]!HsSetValue(E979,"FCC","Scenario#"&amp;R979&amp;";Years#"&amp;J979&amp;";Period#"&amp;I979&amp;";View#"&amp;S979&amp;";Entity#"&amp;H979&amp;";Data Source#"&amp;K979&amp;";Account#"&amp;F979&amp;";Intercompany#"&amp;L979&amp;";Movement#"&amp;Q979&amp;";Consolidation#"&amp;T979&amp;";Custom1#"&amp;M979&amp;";Custom2#"&amp;N979&amp;";Custom3#"&amp;O979&amp;";Custom4#"&amp;P979&amp;"")</f>
        <v>#Invalid Syntax</v>
      </c>
      <c r="E979" s="216">
        <f>SUMIFS('Investment Analysis'!$H$22:$H$69,'Investment Analysis'!$E$22:$E$69,"US Agencies Obligations",'Investment Analysis'!$AI$22:$AI$69,"16")</f>
        <v>0</v>
      </c>
      <c r="F979" s="217" t="s">
        <v>674</v>
      </c>
      <c r="G979" s="217" t="s">
        <v>1071</v>
      </c>
      <c r="H979" s="218" t="e">
        <f t="shared" si="327"/>
        <v>#N/A</v>
      </c>
      <c r="I979" s="218" t="str">
        <f t="shared" si="327"/>
        <v>Jun</v>
      </c>
      <c r="J979" s="217" t="str">
        <f t="shared" si="327"/>
        <v>FY25</v>
      </c>
      <c r="K979" s="217" t="s">
        <v>843</v>
      </c>
      <c r="L979" s="217" t="s">
        <v>844</v>
      </c>
      <c r="M979" s="217" t="s">
        <v>845</v>
      </c>
      <c r="N979" s="217" t="s">
        <v>846</v>
      </c>
      <c r="O979" s="217" t="s">
        <v>726</v>
      </c>
      <c r="P979" s="217" t="s">
        <v>583</v>
      </c>
      <c r="Q979" s="217" t="str">
        <f t="shared" si="328"/>
        <v>FCCS_ClosingBalance_Input</v>
      </c>
      <c r="R979" s="217" t="s">
        <v>169</v>
      </c>
      <c r="S979" s="217" t="s">
        <v>848</v>
      </c>
      <c r="T979" s="217" t="s">
        <v>850</v>
      </c>
    </row>
    <row r="980" spans="2:20" x14ac:dyDescent="0.3">
      <c r="B980" s="214" t="s">
        <v>667</v>
      </c>
      <c r="C980" s="214" t="s">
        <v>895</v>
      </c>
      <c r="D980" s="216" t="str">
        <f>[2]!HsSetValue(E980,"FCC","Scenario#"&amp;R980&amp;";Years#"&amp;J980&amp;";Period#"&amp;I980&amp;";View#"&amp;S980&amp;";Entity#"&amp;H980&amp;";Data Source#"&amp;K980&amp;";Account#"&amp;F980&amp;";Intercompany#"&amp;L980&amp;";Movement#"&amp;Q980&amp;";Consolidation#"&amp;T980&amp;";Custom1#"&amp;M980&amp;";Custom2#"&amp;N980&amp;";Custom3#"&amp;O980&amp;";Custom4#"&amp;P980&amp;"")</f>
        <v>#Invalid Syntax</v>
      </c>
      <c r="E980" s="216">
        <f>SUMIFS('Investment Analysis'!$H$22:$H$69,'Investment Analysis'!$E$22:$E$69,"US Agencies Obligations",'Investment Analysis'!$AI$22:$AI$69,"15")</f>
        <v>0</v>
      </c>
      <c r="F980" s="217" t="s">
        <v>674</v>
      </c>
      <c r="G980" s="217" t="s">
        <v>1071</v>
      </c>
      <c r="H980" s="218" t="e">
        <f t="shared" si="327"/>
        <v>#N/A</v>
      </c>
      <c r="I980" s="218" t="str">
        <f t="shared" si="327"/>
        <v>Jun</v>
      </c>
      <c r="J980" s="217" t="str">
        <f t="shared" si="327"/>
        <v>FY25</v>
      </c>
      <c r="K980" s="217" t="s">
        <v>843</v>
      </c>
      <c r="L980" s="217" t="s">
        <v>844</v>
      </c>
      <c r="M980" s="217" t="s">
        <v>845</v>
      </c>
      <c r="N980" s="217" t="s">
        <v>846</v>
      </c>
      <c r="O980" s="217" t="s">
        <v>727</v>
      </c>
      <c r="P980" s="217" t="s">
        <v>583</v>
      </c>
      <c r="Q980" s="217" t="str">
        <f t="shared" si="328"/>
        <v>FCCS_ClosingBalance_Input</v>
      </c>
      <c r="R980" s="217" t="s">
        <v>169</v>
      </c>
      <c r="S980" s="217" t="s">
        <v>848</v>
      </c>
      <c r="T980" s="217" t="s">
        <v>850</v>
      </c>
    </row>
    <row r="981" spans="2:20" x14ac:dyDescent="0.3">
      <c r="B981" s="214" t="s">
        <v>667</v>
      </c>
      <c r="C981" s="214" t="s">
        <v>895</v>
      </c>
      <c r="D981" s="216" t="str">
        <f>[2]!HsSetValue(E981,"FCC","Scenario#"&amp;R981&amp;";Years#"&amp;J981&amp;";Period#"&amp;I981&amp;";View#"&amp;S981&amp;";Entity#"&amp;H981&amp;";Data Source#"&amp;K981&amp;";Account#"&amp;F981&amp;";Intercompany#"&amp;L981&amp;";Movement#"&amp;Q981&amp;";Consolidation#"&amp;T981&amp;";Custom1#"&amp;M981&amp;";Custom2#"&amp;N981&amp;";Custom3#"&amp;O981&amp;";Custom4#"&amp;P981&amp;"")</f>
        <v>#Invalid Syntax</v>
      </c>
      <c r="E981" s="216">
        <f>SUMIFS('Investment Analysis'!$H$22:$H$69,'Investment Analysis'!$E$22:$E$69,"US Agencies Obligations",'Investment Analysis'!$AI$22:$AI$69,"14")</f>
        <v>0</v>
      </c>
      <c r="F981" s="217" t="s">
        <v>674</v>
      </c>
      <c r="G981" s="217" t="s">
        <v>1071</v>
      </c>
      <c r="H981" s="218" t="e">
        <f t="shared" si="327"/>
        <v>#N/A</v>
      </c>
      <c r="I981" s="218" t="str">
        <f t="shared" si="327"/>
        <v>Jun</v>
      </c>
      <c r="J981" s="217" t="str">
        <f t="shared" si="327"/>
        <v>FY25</v>
      </c>
      <c r="K981" s="217" t="s">
        <v>843</v>
      </c>
      <c r="L981" s="217" t="s">
        <v>844</v>
      </c>
      <c r="M981" s="217" t="s">
        <v>845</v>
      </c>
      <c r="N981" s="217" t="s">
        <v>846</v>
      </c>
      <c r="O981" s="217" t="s">
        <v>728</v>
      </c>
      <c r="P981" s="217" t="s">
        <v>583</v>
      </c>
      <c r="Q981" s="217" t="str">
        <f t="shared" si="328"/>
        <v>FCCS_ClosingBalance_Input</v>
      </c>
      <c r="R981" s="217" t="s">
        <v>169</v>
      </c>
      <c r="S981" s="217" t="s">
        <v>848</v>
      </c>
      <c r="T981" s="217" t="s">
        <v>850</v>
      </c>
    </row>
    <row r="982" spans="2:20" x14ac:dyDescent="0.3">
      <c r="B982" s="214" t="s">
        <v>667</v>
      </c>
      <c r="C982" s="214" t="s">
        <v>895</v>
      </c>
      <c r="D982" s="216" t="str">
        <f>[2]!HsSetValue(E982,"FCC","Scenario#"&amp;R982&amp;";Years#"&amp;J982&amp;";Period#"&amp;I982&amp;";View#"&amp;S982&amp;";Entity#"&amp;H982&amp;";Data Source#"&amp;K982&amp;";Account#"&amp;F982&amp;";Intercompany#"&amp;L982&amp;";Movement#"&amp;Q982&amp;";Consolidation#"&amp;T982&amp;";Custom1#"&amp;M982&amp;";Custom2#"&amp;N982&amp;";Custom3#"&amp;O982&amp;";Custom4#"&amp;P982&amp;"")</f>
        <v>#Invalid Syntax</v>
      </c>
      <c r="E982" s="216">
        <f>SUMIFS('Investment Analysis'!$H$22:$H$69,'Investment Analysis'!$E$22:$E$69,"US Agencies Obligations",'Investment Analysis'!$AB$22:$AB$69,"0")+SUMIFS('Investment Analysis'!$H$22:$H$69,'Investment Analysis'!$E$22:$E$69,"US Agencies Obligations",'Investment Analysis'!$AI$22:$AI$69,"0")</f>
        <v>0</v>
      </c>
      <c r="F982" s="217" t="s">
        <v>674</v>
      </c>
      <c r="G982" s="217" t="s">
        <v>1071</v>
      </c>
      <c r="H982" s="218" t="e">
        <f t="shared" si="327"/>
        <v>#N/A</v>
      </c>
      <c r="I982" s="218" t="str">
        <f t="shared" si="327"/>
        <v>Jun</v>
      </c>
      <c r="J982" s="217" t="str">
        <f t="shared" si="327"/>
        <v>FY25</v>
      </c>
      <c r="K982" s="217" t="s">
        <v>843</v>
      </c>
      <c r="L982" s="217" t="s">
        <v>844</v>
      </c>
      <c r="M982" s="217" t="s">
        <v>845</v>
      </c>
      <c r="N982" s="217" t="s">
        <v>846</v>
      </c>
      <c r="O982" s="217" t="s">
        <v>609</v>
      </c>
      <c r="P982" s="217" t="s">
        <v>583</v>
      </c>
      <c r="Q982" s="217" t="str">
        <f t="shared" si="328"/>
        <v>FCCS_ClosingBalance_Input</v>
      </c>
      <c r="R982" s="217" t="s">
        <v>169</v>
      </c>
      <c r="S982" s="217" t="s">
        <v>848</v>
      </c>
      <c r="T982" s="217" t="s">
        <v>850</v>
      </c>
    </row>
    <row r="983" spans="2:20" x14ac:dyDescent="0.3">
      <c r="B983" s="210"/>
      <c r="C983" s="210"/>
      <c r="D983" s="212"/>
      <c r="E983" s="212"/>
    </row>
    <row r="984" spans="2:20" x14ac:dyDescent="0.3">
      <c r="B984" s="219" t="s">
        <v>1014</v>
      </c>
      <c r="C984" s="219" t="s">
        <v>895</v>
      </c>
      <c r="D984" s="221" t="str">
        <f>[2]!HsSetValue(E984,"FCC","Scenario#"&amp;R984&amp;";Years#"&amp;J984&amp;";Period#"&amp;I984&amp;";View#"&amp;S984&amp;";Entity#"&amp;H984&amp;";Data Source#"&amp;K984&amp;";Account#"&amp;F984&amp;";Intercompany#"&amp;L984&amp;";Movement#"&amp;Q984&amp;";Consolidation#"&amp;T984&amp;";Custom1#"&amp;M984&amp;";Custom2#"&amp;N984&amp;";Custom3#"&amp;O984&amp;";Custom4#"&amp;P984&amp;"")</f>
        <v>#Invalid Syntax</v>
      </c>
      <c r="E984" s="221">
        <f>SUMIFS('Investment Analysis'!$H$22:$H$69,'Investment Analysis'!$E$22:$E$69,"US Agencies Obligations",'Investment Analysis'!$AK$22:$AK$69,"21")</f>
        <v>0</v>
      </c>
      <c r="F984" s="222" t="s">
        <v>675</v>
      </c>
      <c r="G984" s="222" t="s">
        <v>1043</v>
      </c>
      <c r="H984" s="223" t="e">
        <f>+H$2</f>
        <v>#N/A</v>
      </c>
      <c r="I984" s="223" t="str">
        <f t="shared" ref="I984:J999" si="330">+I$2</f>
        <v>Jun</v>
      </c>
      <c r="J984" s="222" t="str">
        <f t="shared" si="327"/>
        <v>FY25</v>
      </c>
      <c r="K984" s="222" t="s">
        <v>843</v>
      </c>
      <c r="L984" s="222" t="s">
        <v>844</v>
      </c>
      <c r="M984" s="222" t="s">
        <v>845</v>
      </c>
      <c r="N984" s="222" t="s">
        <v>846</v>
      </c>
      <c r="O984" s="222" t="s">
        <v>729</v>
      </c>
      <c r="P984" s="222" t="s">
        <v>583</v>
      </c>
      <c r="Q984" s="222" t="str">
        <f t="shared" ref="Q984:Q988" si="331">Q$2</f>
        <v>FCCS_ClosingBalance_Input</v>
      </c>
      <c r="R984" s="222" t="s">
        <v>169</v>
      </c>
      <c r="S984" s="222" t="s">
        <v>848</v>
      </c>
      <c r="T984" s="222" t="s">
        <v>850</v>
      </c>
    </row>
    <row r="985" spans="2:20" x14ac:dyDescent="0.3">
      <c r="B985" s="219" t="s">
        <v>1014</v>
      </c>
      <c r="C985" s="219" t="s">
        <v>895</v>
      </c>
      <c r="D985" s="221" t="str">
        <f>[2]!HsSetValue(E985,"FCC","Scenario#"&amp;R985&amp;";Years#"&amp;J985&amp;";Period#"&amp;I985&amp;";View#"&amp;S985&amp;";Entity#"&amp;H985&amp;";Data Source#"&amp;K985&amp;";Account#"&amp;F985&amp;";Intercompany#"&amp;L985&amp;";Movement#"&amp;Q985&amp;";Consolidation#"&amp;T985&amp;";Custom1#"&amp;M985&amp;";Custom2#"&amp;N985&amp;";Custom3#"&amp;O985&amp;";Custom4#"&amp;P985&amp;"")</f>
        <v>#Invalid Syntax</v>
      </c>
      <c r="E985" s="221">
        <f>SUMIFS('Investment Analysis'!$H$22:$H$69,'Investment Analysis'!$E$22:$E$69,"US Agencies Obligations",'Investment Analysis'!$AK$22:$AK$69,"22")</f>
        <v>0</v>
      </c>
      <c r="F985" s="222" t="s">
        <v>675</v>
      </c>
      <c r="G985" s="222" t="s">
        <v>1043</v>
      </c>
      <c r="H985" s="223" t="e">
        <f>+H$2</f>
        <v>#N/A</v>
      </c>
      <c r="I985" s="223" t="str">
        <f t="shared" si="330"/>
        <v>Jun</v>
      </c>
      <c r="J985" s="222" t="str">
        <f t="shared" si="330"/>
        <v>FY25</v>
      </c>
      <c r="K985" s="222" t="s">
        <v>843</v>
      </c>
      <c r="L985" s="222" t="s">
        <v>844</v>
      </c>
      <c r="M985" s="222" t="s">
        <v>845</v>
      </c>
      <c r="N985" s="222" t="s">
        <v>846</v>
      </c>
      <c r="O985" s="222" t="s">
        <v>730</v>
      </c>
      <c r="P985" s="222" t="s">
        <v>583</v>
      </c>
      <c r="Q985" s="222" t="str">
        <f t="shared" si="331"/>
        <v>FCCS_ClosingBalance_Input</v>
      </c>
      <c r="R985" s="222" t="s">
        <v>169</v>
      </c>
      <c r="S985" s="222" t="s">
        <v>848</v>
      </c>
      <c r="T985" s="222" t="s">
        <v>850</v>
      </c>
    </row>
    <row r="986" spans="2:20" x14ac:dyDescent="0.3">
      <c r="B986" s="219" t="s">
        <v>1014</v>
      </c>
      <c r="C986" s="219" t="s">
        <v>895</v>
      </c>
      <c r="D986" s="221" t="str">
        <f>[2]!HsSetValue(E986,"FCC","Scenario#"&amp;R986&amp;";Years#"&amp;J986&amp;";Period#"&amp;I986&amp;";View#"&amp;S986&amp;";Entity#"&amp;H986&amp;";Data Source#"&amp;K986&amp;";Account#"&amp;F986&amp;";Intercompany#"&amp;L986&amp;";Movement#"&amp;Q986&amp;";Consolidation#"&amp;T986&amp;";Custom1#"&amp;M986&amp;";Custom2#"&amp;N986&amp;";Custom3#"&amp;O986&amp;";Custom4#"&amp;P986&amp;"")</f>
        <v>#Invalid Syntax</v>
      </c>
      <c r="E986" s="221">
        <f>SUMIFS('Investment Analysis'!$H$22:$H$69,'Investment Analysis'!$E$22:$E$69,"US Agencies Obligations",'Investment Analysis'!$AK$22:$AK$69,"23")</f>
        <v>0</v>
      </c>
      <c r="F986" s="222" t="s">
        <v>675</v>
      </c>
      <c r="G986" s="222" t="s">
        <v>1043</v>
      </c>
      <c r="H986" s="223" t="e">
        <f>+H$2</f>
        <v>#N/A</v>
      </c>
      <c r="I986" s="223" t="str">
        <f t="shared" si="330"/>
        <v>Jun</v>
      </c>
      <c r="J986" s="222" t="str">
        <f t="shared" si="330"/>
        <v>FY25</v>
      </c>
      <c r="K986" s="222" t="s">
        <v>843</v>
      </c>
      <c r="L986" s="222" t="s">
        <v>844</v>
      </c>
      <c r="M986" s="222" t="s">
        <v>845</v>
      </c>
      <c r="N986" s="222" t="s">
        <v>846</v>
      </c>
      <c r="O986" s="222" t="s">
        <v>731</v>
      </c>
      <c r="P986" s="222" t="s">
        <v>583</v>
      </c>
      <c r="Q986" s="222" t="str">
        <f t="shared" si="331"/>
        <v>FCCS_ClosingBalance_Input</v>
      </c>
      <c r="R986" s="222" t="s">
        <v>169</v>
      </c>
      <c r="S986" s="222" t="s">
        <v>848</v>
      </c>
      <c r="T986" s="222" t="s">
        <v>850</v>
      </c>
    </row>
    <row r="987" spans="2:20" x14ac:dyDescent="0.3">
      <c r="B987" s="219" t="s">
        <v>1014</v>
      </c>
      <c r="C987" s="219" t="s">
        <v>895</v>
      </c>
      <c r="D987" s="221" t="str">
        <f>[2]!HsSetValue(E987,"FCC","Scenario#"&amp;R987&amp;";Years#"&amp;J987&amp;";Period#"&amp;I987&amp;";View#"&amp;S987&amp;";Entity#"&amp;H987&amp;";Data Source#"&amp;K987&amp;";Account#"&amp;F987&amp;";Intercompany#"&amp;L987&amp;";Movement#"&amp;Q987&amp;";Consolidation#"&amp;T987&amp;";Custom1#"&amp;M987&amp;";Custom2#"&amp;N987&amp;";Custom3#"&amp;O987&amp;";Custom4#"&amp;P987&amp;"")</f>
        <v>#Invalid Syntax</v>
      </c>
      <c r="E987" s="221">
        <f>SUMIFS('Investment Analysis'!$H$22:$H$69,'Investment Analysis'!$E$22:$E$69,"US Agencies Obligations",'Investment Analysis'!$AK$22:$AK$69,"24")</f>
        <v>0</v>
      </c>
      <c r="F987" s="222" t="s">
        <v>675</v>
      </c>
      <c r="G987" s="222" t="s">
        <v>1043</v>
      </c>
      <c r="H987" s="223" t="e">
        <f>+H$2</f>
        <v>#N/A</v>
      </c>
      <c r="I987" s="223" t="str">
        <f t="shared" si="330"/>
        <v>Jun</v>
      </c>
      <c r="J987" s="222" t="str">
        <f t="shared" si="330"/>
        <v>FY25</v>
      </c>
      <c r="K987" s="222" t="s">
        <v>843</v>
      </c>
      <c r="L987" s="222" t="s">
        <v>844</v>
      </c>
      <c r="M987" s="222" t="s">
        <v>845</v>
      </c>
      <c r="N987" s="222" t="s">
        <v>846</v>
      </c>
      <c r="O987" s="222" t="s">
        <v>732</v>
      </c>
      <c r="P987" s="222" t="s">
        <v>583</v>
      </c>
      <c r="Q987" s="222" t="str">
        <f t="shared" si="331"/>
        <v>FCCS_ClosingBalance_Input</v>
      </c>
      <c r="R987" s="222" t="s">
        <v>169</v>
      </c>
      <c r="S987" s="222" t="s">
        <v>848</v>
      </c>
      <c r="T987" s="222" t="s">
        <v>850</v>
      </c>
    </row>
    <row r="988" spans="2:20" x14ac:dyDescent="0.3">
      <c r="B988" s="219" t="s">
        <v>1014</v>
      </c>
      <c r="C988" s="219" t="s">
        <v>895</v>
      </c>
      <c r="D988" s="221" t="str">
        <f>[2]!HsSetValue(E988,"FCC","Scenario#"&amp;R988&amp;";Years#"&amp;J988&amp;";Period#"&amp;I988&amp;";View#"&amp;S988&amp;";Entity#"&amp;H988&amp;";Data Source#"&amp;K988&amp;";Account#"&amp;F988&amp;";Intercompany#"&amp;L988&amp;";Movement#"&amp;Q988&amp;";Consolidation#"&amp;T988&amp;";Custom1#"&amp;M988&amp;";Custom2#"&amp;N988&amp;";Custom3#"&amp;O988&amp;";Custom4#"&amp;P988&amp;"")</f>
        <v>#Invalid Syntax</v>
      </c>
      <c r="E988" s="221">
        <f>SUMIFS('Investment Analysis'!$H$22:$H$69,'Investment Analysis'!$E$22:$E$69,"US Agencies Obligations",'Investment Analysis'!$AK$22:$AK$69,"25")</f>
        <v>0</v>
      </c>
      <c r="F988" s="222" t="s">
        <v>675</v>
      </c>
      <c r="G988" s="222" t="s">
        <v>1043</v>
      </c>
      <c r="H988" s="223" t="e">
        <f>+H$2</f>
        <v>#N/A</v>
      </c>
      <c r="I988" s="223" t="str">
        <f t="shared" si="330"/>
        <v>Jun</v>
      </c>
      <c r="J988" s="222" t="str">
        <f t="shared" si="330"/>
        <v>FY25</v>
      </c>
      <c r="K988" s="222" t="s">
        <v>843</v>
      </c>
      <c r="L988" s="222" t="s">
        <v>844</v>
      </c>
      <c r="M988" s="222" t="s">
        <v>845</v>
      </c>
      <c r="N988" s="222" t="s">
        <v>846</v>
      </c>
      <c r="O988" s="222" t="s">
        <v>733</v>
      </c>
      <c r="P988" s="222" t="s">
        <v>583</v>
      </c>
      <c r="Q988" s="222" t="str">
        <f t="shared" si="331"/>
        <v>FCCS_ClosingBalance_Input</v>
      </c>
      <c r="R988" s="222" t="s">
        <v>169</v>
      </c>
      <c r="S988" s="222" t="s">
        <v>848</v>
      </c>
      <c r="T988" s="222" t="s">
        <v>850</v>
      </c>
    </row>
    <row r="989" spans="2:20" outlineLevel="1" x14ac:dyDescent="0.3">
      <c r="B989" s="210"/>
      <c r="C989" s="210"/>
      <c r="D989" s="212"/>
      <c r="E989" s="212"/>
    </row>
    <row r="990" spans="2:20" x14ac:dyDescent="0.3">
      <c r="B990" s="364" t="s">
        <v>668</v>
      </c>
      <c r="C990" s="364" t="s">
        <v>896</v>
      </c>
      <c r="D990" s="366" t="str">
        <f>[2]!HsSetValue(E990,"FCC","Scenario#"&amp;R990&amp;";Years#"&amp;J990&amp;";Period#"&amp;I990&amp;";View#"&amp;S990&amp;";Entity#"&amp;H990&amp;";Data Source#"&amp;K990&amp;";Account#"&amp;F990&amp;";Intercompany#"&amp;L990&amp;";Movement#"&amp;Q990&amp;";Consolidation#"&amp;T990&amp;";Custom1#"&amp;M990&amp;";Custom2#"&amp;N990&amp;";Custom3#"&amp;O990&amp;";Custom4#"&amp;P990&amp;"")</f>
        <v>#Invalid Syntax</v>
      </c>
      <c r="E990" s="366">
        <f>SUMIF('Investment Analysis'!$E$22:$E$69,'FCC Investments - Load Tab'!C990,'Investment Analysis'!$K$22:$K$69)</f>
        <v>0</v>
      </c>
      <c r="F990" s="367" t="s">
        <v>673</v>
      </c>
      <c r="G990" s="367" t="s">
        <v>964</v>
      </c>
      <c r="H990" s="368" t="e">
        <f>+H$2</f>
        <v>#N/A</v>
      </c>
      <c r="I990" s="368" t="str">
        <f t="shared" ref="I990:I994" si="332">+I$2</f>
        <v>Jun</v>
      </c>
      <c r="J990" s="367" t="str">
        <f t="shared" si="330"/>
        <v>FY25</v>
      </c>
      <c r="K990" s="367" t="s">
        <v>843</v>
      </c>
      <c r="L990" s="367" t="s">
        <v>844</v>
      </c>
      <c r="M990" s="367" t="s">
        <v>845</v>
      </c>
      <c r="N990" s="367" t="s">
        <v>846</v>
      </c>
      <c r="O990" s="367" t="s">
        <v>721</v>
      </c>
      <c r="P990" s="367" t="s">
        <v>584</v>
      </c>
      <c r="Q990" s="367" t="str">
        <f t="shared" ref="Q990:Q994" si="333">Q$2</f>
        <v>FCCS_ClosingBalance_Input</v>
      </c>
      <c r="R990" s="367" t="s">
        <v>169</v>
      </c>
      <c r="S990" s="367" t="s">
        <v>848</v>
      </c>
      <c r="T990" s="367" t="s">
        <v>850</v>
      </c>
    </row>
    <row r="991" spans="2:20" x14ac:dyDescent="0.3">
      <c r="B991" s="364" t="s">
        <v>668</v>
      </c>
      <c r="C991" s="364" t="s">
        <v>896</v>
      </c>
      <c r="D991" s="366" t="str">
        <f>[2]!HsSetValue(E991,"FCC","Scenario#"&amp;R991&amp;";Years#"&amp;J991&amp;";Period#"&amp;I991&amp;";View#"&amp;S991&amp;";Entity#"&amp;H991&amp;";Data Source#"&amp;K991&amp;";Account#"&amp;F991&amp;";Intercompany#"&amp;L991&amp;";Movement#"&amp;Q991&amp;";Consolidation#"&amp;T991&amp;";Custom1#"&amp;M991&amp;";Custom2#"&amp;N991&amp;";Custom3#"&amp;O991&amp;";Custom4#"&amp;P991&amp;"")</f>
        <v>#Invalid Syntax</v>
      </c>
      <c r="E991" s="366">
        <f>SUMIF('Investment Analysis'!$E$22:$E$69,'FCC Investments - Load Tab'!C990,'Investment Analysis'!$L$22:$L$69)</f>
        <v>0</v>
      </c>
      <c r="F991" s="367" t="s">
        <v>673</v>
      </c>
      <c r="G991" s="367" t="s">
        <v>964</v>
      </c>
      <c r="H991" s="368" t="e">
        <f>+H$2</f>
        <v>#N/A</v>
      </c>
      <c r="I991" s="368" t="str">
        <f t="shared" si="332"/>
        <v>Jun</v>
      </c>
      <c r="J991" s="367" t="str">
        <f t="shared" si="330"/>
        <v>FY25</v>
      </c>
      <c r="K991" s="367" t="s">
        <v>843</v>
      </c>
      <c r="L991" s="367" t="s">
        <v>844</v>
      </c>
      <c r="M991" s="367" t="s">
        <v>845</v>
      </c>
      <c r="N991" s="367" t="s">
        <v>846</v>
      </c>
      <c r="O991" s="367" t="s">
        <v>722</v>
      </c>
      <c r="P991" s="367" t="s">
        <v>584</v>
      </c>
      <c r="Q991" s="367" t="str">
        <f t="shared" si="333"/>
        <v>FCCS_ClosingBalance_Input</v>
      </c>
      <c r="R991" s="367" t="s">
        <v>169</v>
      </c>
      <c r="S991" s="367" t="s">
        <v>848</v>
      </c>
      <c r="T991" s="367" t="s">
        <v>850</v>
      </c>
    </row>
    <row r="992" spans="2:20" x14ac:dyDescent="0.3">
      <c r="B992" s="364" t="s">
        <v>668</v>
      </c>
      <c r="C992" s="364" t="s">
        <v>896</v>
      </c>
      <c r="D992" s="366" t="str">
        <f>[2]!HsSetValue(E992,"FCC","Scenario#"&amp;R992&amp;";Years#"&amp;J992&amp;";Period#"&amp;I992&amp;";View#"&amp;S992&amp;";Entity#"&amp;H992&amp;";Data Source#"&amp;K992&amp;";Account#"&amp;F992&amp;";Intercompany#"&amp;L992&amp;";Movement#"&amp;Q992&amp;";Consolidation#"&amp;T992&amp;";Custom1#"&amp;M992&amp;";Custom2#"&amp;N992&amp;";Custom3#"&amp;O992&amp;";Custom4#"&amp;P992&amp;"")</f>
        <v>#Invalid Syntax</v>
      </c>
      <c r="E992" s="366">
        <f>SUMIF('Investment Analysis'!$E$22:$E$69,'FCC Investments - Load Tab'!C990,'Investment Analysis'!$M$22:$M$69)</f>
        <v>0</v>
      </c>
      <c r="F992" s="367" t="s">
        <v>673</v>
      </c>
      <c r="G992" s="367" t="s">
        <v>964</v>
      </c>
      <c r="H992" s="368" t="e">
        <f>+H$2</f>
        <v>#N/A</v>
      </c>
      <c r="I992" s="368" t="str">
        <f t="shared" si="332"/>
        <v>Jun</v>
      </c>
      <c r="J992" s="367" t="str">
        <f t="shared" si="330"/>
        <v>FY25</v>
      </c>
      <c r="K992" s="367" t="s">
        <v>843</v>
      </c>
      <c r="L992" s="367" t="s">
        <v>844</v>
      </c>
      <c r="M992" s="367" t="s">
        <v>845</v>
      </c>
      <c r="N992" s="367" t="s">
        <v>846</v>
      </c>
      <c r="O992" s="367" t="s">
        <v>723</v>
      </c>
      <c r="P992" s="367" t="s">
        <v>584</v>
      </c>
      <c r="Q992" s="367" t="str">
        <f t="shared" si="333"/>
        <v>FCCS_ClosingBalance_Input</v>
      </c>
      <c r="R992" s="367" t="s">
        <v>169</v>
      </c>
      <c r="S992" s="367" t="s">
        <v>848</v>
      </c>
      <c r="T992" s="367" t="s">
        <v>850</v>
      </c>
    </row>
    <row r="993" spans="2:20" x14ac:dyDescent="0.3">
      <c r="B993" s="364" t="s">
        <v>668</v>
      </c>
      <c r="C993" s="364" t="s">
        <v>896</v>
      </c>
      <c r="D993" s="366" t="str">
        <f>[2]!HsSetValue(E993,"FCC","Scenario#"&amp;R993&amp;";Years#"&amp;J993&amp;";Period#"&amp;I993&amp;";View#"&amp;S993&amp;";Entity#"&amp;H993&amp;";Data Source#"&amp;K993&amp;";Account#"&amp;F993&amp;";Intercompany#"&amp;L993&amp;";Movement#"&amp;Q993&amp;";Consolidation#"&amp;T993&amp;";Custom1#"&amp;M993&amp;";Custom2#"&amp;N993&amp;";Custom3#"&amp;O993&amp;";Custom4#"&amp;P993&amp;"")</f>
        <v>#Invalid Syntax</v>
      </c>
      <c r="E993" s="366">
        <f>SUMIF('Investment Analysis'!$E$22:$E$69,'FCC Investments - Load Tab'!C993,'Investment Analysis'!$N$22:$N$69)</f>
        <v>0</v>
      </c>
      <c r="F993" s="367" t="s">
        <v>673</v>
      </c>
      <c r="G993" s="367" t="s">
        <v>964</v>
      </c>
      <c r="H993" s="368" t="e">
        <f>+H$2</f>
        <v>#N/A</v>
      </c>
      <c r="I993" s="368" t="str">
        <f t="shared" si="332"/>
        <v>Jun</v>
      </c>
      <c r="J993" s="367" t="str">
        <f t="shared" si="330"/>
        <v>FY25</v>
      </c>
      <c r="K993" s="367" t="s">
        <v>843</v>
      </c>
      <c r="L993" s="367" t="s">
        <v>844</v>
      </c>
      <c r="M993" s="367" t="s">
        <v>845</v>
      </c>
      <c r="N993" s="367" t="s">
        <v>846</v>
      </c>
      <c r="O993" s="367" t="s">
        <v>724</v>
      </c>
      <c r="P993" s="367" t="s">
        <v>584</v>
      </c>
      <c r="Q993" s="367" t="str">
        <f t="shared" si="333"/>
        <v>FCCS_ClosingBalance_Input</v>
      </c>
      <c r="R993" s="367" t="s">
        <v>169</v>
      </c>
      <c r="S993" s="367" t="s">
        <v>848</v>
      </c>
      <c r="T993" s="367" t="s">
        <v>850</v>
      </c>
    </row>
    <row r="994" spans="2:20" x14ac:dyDescent="0.3">
      <c r="B994" s="364" t="s">
        <v>668</v>
      </c>
      <c r="C994" s="364" t="s">
        <v>896</v>
      </c>
      <c r="D994" s="366" t="str">
        <f>[2]!HsSetValue(E994,"FCC","Scenario#"&amp;R994&amp;";Years#"&amp;J994&amp;";Period#"&amp;I994&amp;";View#"&amp;S994&amp;";Entity#"&amp;H994&amp;";Data Source#"&amp;K994&amp;";Account#"&amp;F994&amp;";Intercompany#"&amp;L994&amp;";Movement#"&amp;Q994&amp;";Consolidation#"&amp;T994&amp;";Custom1#"&amp;M994&amp;";Custom2#"&amp;N994&amp;";Custom3#"&amp;O994&amp;";Custom4#"&amp;P994&amp;"")</f>
        <v>#Invalid Syntax</v>
      </c>
      <c r="E994" s="366">
        <f>SUMIF('Investment Analysis'!$E$2:$E$69,'FCC Investments - Load Tab'!C994,'Investment Analysis'!$O$2:$O$69)</f>
        <v>0</v>
      </c>
      <c r="F994" s="367" t="s">
        <v>673</v>
      </c>
      <c r="G994" s="367" t="s">
        <v>964</v>
      </c>
      <c r="H994" s="368" t="e">
        <f>+H$2</f>
        <v>#N/A</v>
      </c>
      <c r="I994" s="368" t="str">
        <f t="shared" si="332"/>
        <v>Jun</v>
      </c>
      <c r="J994" s="367" t="str">
        <f t="shared" si="330"/>
        <v>FY25</v>
      </c>
      <c r="K994" s="367" t="s">
        <v>843</v>
      </c>
      <c r="L994" s="367" t="s">
        <v>844</v>
      </c>
      <c r="M994" s="367" t="s">
        <v>845</v>
      </c>
      <c r="N994" s="367" t="s">
        <v>846</v>
      </c>
      <c r="O994" s="367" t="s">
        <v>725</v>
      </c>
      <c r="P994" s="367" t="s">
        <v>584</v>
      </c>
      <c r="Q994" s="367" t="str">
        <f t="shared" si="333"/>
        <v>FCCS_ClosingBalance_Input</v>
      </c>
      <c r="R994" s="367" t="s">
        <v>169</v>
      </c>
      <c r="S994" s="367" t="s">
        <v>848</v>
      </c>
      <c r="T994" s="367" t="s">
        <v>850</v>
      </c>
    </row>
    <row r="995" spans="2:20" x14ac:dyDescent="0.3">
      <c r="B995" s="210"/>
      <c r="C995" s="210"/>
      <c r="D995" s="212"/>
      <c r="E995" s="212"/>
    </row>
    <row r="996" spans="2:20" x14ac:dyDescent="0.3">
      <c r="B996" s="214" t="s">
        <v>667</v>
      </c>
      <c r="C996" s="214" t="s">
        <v>896</v>
      </c>
      <c r="D996" s="216" t="str">
        <f>[2]!HsSetValue(E996,"FCC","Scenario#"&amp;R996&amp;";Years#"&amp;J996&amp;";Period#"&amp;I996&amp;";View#"&amp;S996&amp;";Entity#"&amp;H996&amp;";Data Source#"&amp;K996&amp;";Account#"&amp;F996&amp;";Intercompany#"&amp;L996&amp;";Movement#"&amp;Q996&amp;";Consolidation#"&amp;T996&amp;";Custom1#"&amp;M996&amp;";Custom2#"&amp;N996&amp;";Custom3#"&amp;O996&amp;";Custom4#"&amp;P996&amp;"")</f>
        <v>#Invalid Syntax</v>
      </c>
      <c r="E996" s="216">
        <f>SUMIFS('Investment Analysis'!$H$22:$H$69,'Investment Analysis'!$E$22:$E$69,"US Treasuries Obligations",'Investment Analysis'!$AB$22:$AB$69,"10")</f>
        <v>0</v>
      </c>
      <c r="F996" s="217" t="s">
        <v>674</v>
      </c>
      <c r="G996" s="217" t="s">
        <v>1072</v>
      </c>
      <c r="H996" s="218" t="e">
        <f t="shared" ref="H996:N1011" si="334">+H$2</f>
        <v>#N/A</v>
      </c>
      <c r="I996" s="218" t="str">
        <f t="shared" si="334"/>
        <v>Jun</v>
      </c>
      <c r="J996" s="217" t="str">
        <f t="shared" si="330"/>
        <v>FY25</v>
      </c>
      <c r="K996" s="217" t="s">
        <v>843</v>
      </c>
      <c r="L996" s="217" t="s">
        <v>844</v>
      </c>
      <c r="M996" s="217" t="s">
        <v>845</v>
      </c>
      <c r="N996" s="217" t="s">
        <v>846</v>
      </c>
      <c r="O996" s="217" t="s">
        <v>433</v>
      </c>
      <c r="P996" s="217" t="s">
        <v>584</v>
      </c>
      <c r="Q996" s="217" t="str">
        <f t="shared" ref="Q996:Q1009" si="335">Q$2</f>
        <v>FCCS_ClosingBalance_Input</v>
      </c>
      <c r="R996" s="217" t="s">
        <v>169</v>
      </c>
      <c r="S996" s="217" t="s">
        <v>848</v>
      </c>
      <c r="T996" s="217" t="s">
        <v>850</v>
      </c>
    </row>
    <row r="997" spans="2:20" x14ac:dyDescent="0.3">
      <c r="B997" s="214" t="s">
        <v>667</v>
      </c>
      <c r="C997" s="214" t="s">
        <v>896</v>
      </c>
      <c r="D997" s="216" t="str">
        <f>[2]!HsSetValue(E997,"FCC","Scenario#"&amp;R997&amp;";Years#"&amp;J997&amp;";Period#"&amp;I997&amp;";View#"&amp;S997&amp;";Entity#"&amp;H997&amp;";Data Source#"&amp;K997&amp;";Account#"&amp;F997&amp;";Intercompany#"&amp;L997&amp;";Movement#"&amp;Q997&amp;";Consolidation#"&amp;T997&amp;";Custom1#"&amp;M997&amp;";Custom2#"&amp;N997&amp;";Custom3#"&amp;O997&amp;";Custom4#"&amp;P997&amp;"")</f>
        <v>#Invalid Syntax</v>
      </c>
      <c r="E997" s="216">
        <f>SUMIFS('Investment Analysis'!$H$22:$H$69,'Investment Analysis'!$E$22:$E$69,"US Treasuries Obligations",'Investment Analysis'!$AB$22:$AB$69,"9")</f>
        <v>0</v>
      </c>
      <c r="F997" s="217" t="s">
        <v>674</v>
      </c>
      <c r="G997" s="217" t="s">
        <v>1072</v>
      </c>
      <c r="H997" s="218" t="e">
        <f t="shared" si="334"/>
        <v>#N/A</v>
      </c>
      <c r="I997" s="218" t="str">
        <f t="shared" si="334"/>
        <v>Jun</v>
      </c>
      <c r="J997" s="217" t="str">
        <f t="shared" si="330"/>
        <v>FY25</v>
      </c>
      <c r="K997" s="217" t="s">
        <v>843</v>
      </c>
      <c r="L997" s="217" t="s">
        <v>844</v>
      </c>
      <c r="M997" s="217" t="s">
        <v>845</v>
      </c>
      <c r="N997" s="217" t="s">
        <v>846</v>
      </c>
      <c r="O997" s="217" t="s">
        <v>596</v>
      </c>
      <c r="P997" s="217" t="s">
        <v>584</v>
      </c>
      <c r="Q997" s="217" t="str">
        <f t="shared" si="335"/>
        <v>FCCS_ClosingBalance_Input</v>
      </c>
      <c r="R997" s="217" t="s">
        <v>169</v>
      </c>
      <c r="S997" s="217" t="s">
        <v>848</v>
      </c>
      <c r="T997" s="217" t="s">
        <v>850</v>
      </c>
    </row>
    <row r="998" spans="2:20" x14ac:dyDescent="0.3">
      <c r="B998" s="214" t="s">
        <v>667</v>
      </c>
      <c r="C998" s="214" t="s">
        <v>896</v>
      </c>
      <c r="D998" s="216" t="str">
        <f>[2]!HsSetValue(E998,"FCC","Scenario#"&amp;R998&amp;";Years#"&amp;J998&amp;";Period#"&amp;I998&amp;";View#"&amp;S998&amp;";Entity#"&amp;H998&amp;";Data Source#"&amp;K998&amp;";Account#"&amp;F998&amp;";Intercompany#"&amp;L998&amp;";Movement#"&amp;Q998&amp;";Consolidation#"&amp;T998&amp;";Custom1#"&amp;M998&amp;";Custom2#"&amp;N998&amp;";Custom3#"&amp;O998&amp;";Custom4#"&amp;P998&amp;"")</f>
        <v>#Invalid Syntax</v>
      </c>
      <c r="E998" s="216">
        <f>SUMIFS('Investment Analysis'!$H$22:$H$69,'Investment Analysis'!$E$22:$E$69,"US Treasuries Obligations",'Investment Analysis'!$AB$22:$AB$69,"8")</f>
        <v>0</v>
      </c>
      <c r="F998" s="217" t="s">
        <v>674</v>
      </c>
      <c r="G998" s="217" t="s">
        <v>1072</v>
      </c>
      <c r="H998" s="218" t="e">
        <f t="shared" si="334"/>
        <v>#N/A</v>
      </c>
      <c r="I998" s="218" t="str">
        <f t="shared" si="334"/>
        <v>Jun</v>
      </c>
      <c r="J998" s="217" t="str">
        <f t="shared" si="330"/>
        <v>FY25</v>
      </c>
      <c r="K998" s="217" t="s">
        <v>843</v>
      </c>
      <c r="L998" s="217" t="s">
        <v>844</v>
      </c>
      <c r="M998" s="217" t="s">
        <v>845</v>
      </c>
      <c r="N998" s="217" t="s">
        <v>846</v>
      </c>
      <c r="O998" s="217" t="s">
        <v>61</v>
      </c>
      <c r="P998" s="217" t="s">
        <v>584</v>
      </c>
      <c r="Q998" s="217" t="str">
        <f t="shared" si="335"/>
        <v>FCCS_ClosingBalance_Input</v>
      </c>
      <c r="R998" s="217" t="s">
        <v>169</v>
      </c>
      <c r="S998" s="217" t="s">
        <v>848</v>
      </c>
      <c r="T998" s="217" t="s">
        <v>850</v>
      </c>
    </row>
    <row r="999" spans="2:20" x14ac:dyDescent="0.3">
      <c r="B999" s="214" t="s">
        <v>667</v>
      </c>
      <c r="C999" s="214" t="s">
        <v>896</v>
      </c>
      <c r="D999" s="216" t="str">
        <f>[2]!HsSetValue(E999,"FCC","Scenario#"&amp;R999&amp;";Years#"&amp;J999&amp;";Period#"&amp;I999&amp;";View#"&amp;S999&amp;";Entity#"&amp;H999&amp;";Data Source#"&amp;K999&amp;";Account#"&amp;F999&amp;";Intercompany#"&amp;L999&amp;";Movement#"&amp;Q999&amp;";Consolidation#"&amp;T999&amp;";Custom1#"&amp;M999&amp;";Custom2#"&amp;N999&amp;";Custom3#"&amp;O999&amp;";Custom4#"&amp;P999&amp;"")</f>
        <v>#Invalid Syntax</v>
      </c>
      <c r="E999" s="216">
        <f>SUMIFS('Investment Analysis'!$H$22:$H$69,'Investment Analysis'!$E$22:$E$69,"US Treasuries Obligations",'Investment Analysis'!$AB$22:$AB$69,"7")</f>
        <v>0</v>
      </c>
      <c r="F999" s="217" t="s">
        <v>674</v>
      </c>
      <c r="G999" s="217" t="s">
        <v>1072</v>
      </c>
      <c r="H999" s="218" t="e">
        <f t="shared" si="334"/>
        <v>#N/A</v>
      </c>
      <c r="I999" s="218" t="str">
        <f t="shared" si="334"/>
        <v>Jun</v>
      </c>
      <c r="J999" s="217" t="str">
        <f t="shared" si="330"/>
        <v>FY25</v>
      </c>
      <c r="K999" s="217" t="s">
        <v>843</v>
      </c>
      <c r="L999" s="217" t="s">
        <v>844</v>
      </c>
      <c r="M999" s="217" t="s">
        <v>845</v>
      </c>
      <c r="N999" s="217" t="s">
        <v>846</v>
      </c>
      <c r="O999" s="217" t="s">
        <v>62</v>
      </c>
      <c r="P999" s="217" t="s">
        <v>584</v>
      </c>
      <c r="Q999" s="217" t="str">
        <f t="shared" si="335"/>
        <v>FCCS_ClosingBalance_Input</v>
      </c>
      <c r="R999" s="217" t="s">
        <v>169</v>
      </c>
      <c r="S999" s="217" t="s">
        <v>848</v>
      </c>
      <c r="T999" s="217" t="s">
        <v>850</v>
      </c>
    </row>
    <row r="1000" spans="2:20" x14ac:dyDescent="0.3">
      <c r="B1000" s="214" t="s">
        <v>667</v>
      </c>
      <c r="C1000" s="214" t="s">
        <v>896</v>
      </c>
      <c r="D1000" s="216" t="str">
        <f>[2]!HsSetValue(E1000,"FCC","Scenario#"&amp;R1000&amp;";Years#"&amp;J1000&amp;";Period#"&amp;I1000&amp;";View#"&amp;S1000&amp;";Entity#"&amp;H1000&amp;";Data Source#"&amp;K1000&amp;";Account#"&amp;F1000&amp;";Intercompany#"&amp;L1000&amp;";Movement#"&amp;Q1000&amp;";Consolidation#"&amp;T1000&amp;";Custom1#"&amp;M1000&amp;";Custom2#"&amp;N1000&amp;";Custom3#"&amp;O1000&amp;";Custom4#"&amp;P1000&amp;"")</f>
        <v>#Invalid Syntax</v>
      </c>
      <c r="E1000" s="216">
        <f>SUMIFS('Investment Analysis'!$H$22:$H$69,'Investment Analysis'!$E$22:$E$69,"US Treasuries Obligations",'Investment Analysis'!$AB$22:$AB$69,"6")</f>
        <v>0</v>
      </c>
      <c r="F1000" s="217" t="s">
        <v>674</v>
      </c>
      <c r="G1000" s="217" t="s">
        <v>1072</v>
      </c>
      <c r="H1000" s="218" t="e">
        <f t="shared" si="334"/>
        <v>#N/A</v>
      </c>
      <c r="I1000" s="218" t="str">
        <f t="shared" si="334"/>
        <v>Jun</v>
      </c>
      <c r="J1000" s="217" t="str">
        <f t="shared" si="334"/>
        <v>FY25</v>
      </c>
      <c r="K1000" s="217" t="s">
        <v>843</v>
      </c>
      <c r="L1000" s="217" t="s">
        <v>844</v>
      </c>
      <c r="M1000" s="217" t="s">
        <v>845</v>
      </c>
      <c r="N1000" s="217" t="s">
        <v>846</v>
      </c>
      <c r="O1000" s="217" t="s">
        <v>436</v>
      </c>
      <c r="P1000" s="217" t="s">
        <v>584</v>
      </c>
      <c r="Q1000" s="217" t="str">
        <f t="shared" si="335"/>
        <v>FCCS_ClosingBalance_Input</v>
      </c>
      <c r="R1000" s="217" t="s">
        <v>169</v>
      </c>
      <c r="S1000" s="217" t="s">
        <v>848</v>
      </c>
      <c r="T1000" s="217" t="s">
        <v>850</v>
      </c>
    </row>
    <row r="1001" spans="2:20" s="371" customFormat="1" x14ac:dyDescent="0.3">
      <c r="B1001" s="214" t="s">
        <v>667</v>
      </c>
      <c r="C1001" s="214" t="s">
        <v>896</v>
      </c>
      <c r="D1001" s="216" t="str">
        <f>[2]!HsSetValue(E1001,"FCC","Scenario#"&amp;R1001&amp;";Years#"&amp;J1001&amp;";Period#"&amp;I1001&amp;";View#"&amp;S1001&amp;";Entity#"&amp;H1001&amp;";Data Source#"&amp;K1001&amp;";Account#"&amp;F1001&amp;";Intercompany#"&amp;L1001&amp;";Movement#"&amp;Q1001&amp;";Consolidation#"&amp;T1001&amp;";Custom1#"&amp;M1001&amp;";Custom2#"&amp;N1001&amp;";Custom3#"&amp;O1001&amp;";Custom4#"&amp;P1001&amp;"")</f>
        <v>#Invalid Syntax</v>
      </c>
      <c r="E1001" s="216">
        <f>SUMIFS('Investment Analysis'!$H$22:$H$69,'Investment Analysis'!$E$22:$E$69,"US Treasuries Obligations",'Investment Analysis'!$AB$22:$AB$69,"5")</f>
        <v>0</v>
      </c>
      <c r="F1001" s="217" t="s">
        <v>674</v>
      </c>
      <c r="G1001" s="217" t="s">
        <v>1072</v>
      </c>
      <c r="H1001" s="218" t="e">
        <f t="shared" si="334"/>
        <v>#N/A</v>
      </c>
      <c r="I1001" s="218" t="str">
        <f t="shared" si="334"/>
        <v>Jun</v>
      </c>
      <c r="J1001" s="217" t="str">
        <f t="shared" si="334"/>
        <v>FY25</v>
      </c>
      <c r="K1001" s="217" t="str">
        <f t="shared" si="334"/>
        <v>FCCS_Other Data</v>
      </c>
      <c r="L1001" s="217" t="str">
        <f t="shared" si="334"/>
        <v>FCCS_No Intercompany</v>
      </c>
      <c r="M1001" s="217" t="str">
        <f>+M$1</f>
        <v>No Custom1</v>
      </c>
      <c r="N1001" s="217" t="str">
        <f t="shared" si="334"/>
        <v>No Custom2</v>
      </c>
      <c r="O1001" s="217" t="s">
        <v>434</v>
      </c>
      <c r="P1001" s="217" t="s">
        <v>584</v>
      </c>
      <c r="Q1001" s="217" t="str">
        <f t="shared" si="335"/>
        <v>FCCS_ClosingBalance_Input</v>
      </c>
      <c r="R1001" s="217" t="str">
        <f t="shared" ref="R1001:S1005" si="336">+R$2</f>
        <v>Actual</v>
      </c>
      <c r="S1001" s="217" t="str">
        <f t="shared" si="336"/>
        <v>FCCS_YTD_Input</v>
      </c>
      <c r="T1001" s="217" t="s">
        <v>850</v>
      </c>
    </row>
    <row r="1002" spans="2:20" s="371" customFormat="1" x14ac:dyDescent="0.3">
      <c r="B1002" s="214" t="s">
        <v>667</v>
      </c>
      <c r="C1002" s="214" t="s">
        <v>896</v>
      </c>
      <c r="D1002" s="216" t="str">
        <f>[2]!HsSetValue(E1002,"FCC","Scenario#"&amp;R1002&amp;";Years#"&amp;J1002&amp;";Period#"&amp;I1002&amp;";View#"&amp;S1002&amp;";Entity#"&amp;H1002&amp;";Data Source#"&amp;K1002&amp;";Account#"&amp;F1002&amp;";Intercompany#"&amp;L1002&amp;";Movement#"&amp;Q1002&amp;";Consolidation#"&amp;T1002&amp;";Custom1#"&amp;M1002&amp;";Custom2#"&amp;N1002&amp;";Custom3#"&amp;O1002&amp;";Custom4#"&amp;P1002&amp;"")</f>
        <v>#Invalid Syntax</v>
      </c>
      <c r="E1002" s="216">
        <f>SUMIFS('Investment Analysis'!$H$22:$H$69,'Investment Analysis'!$E$22:$E$69,"US Treasuries Obligations",'Investment Analysis'!$AB$22:$AB$69,"4")</f>
        <v>0</v>
      </c>
      <c r="F1002" s="217" t="s">
        <v>674</v>
      </c>
      <c r="G1002" s="217" t="s">
        <v>1072</v>
      </c>
      <c r="H1002" s="218" t="e">
        <f t="shared" si="334"/>
        <v>#N/A</v>
      </c>
      <c r="I1002" s="218" t="str">
        <f t="shared" si="334"/>
        <v>Jun</v>
      </c>
      <c r="J1002" s="217" t="str">
        <f t="shared" si="334"/>
        <v>FY25</v>
      </c>
      <c r="K1002" s="217" t="str">
        <f t="shared" si="334"/>
        <v>FCCS_Other Data</v>
      </c>
      <c r="L1002" s="217" t="str">
        <f t="shared" si="334"/>
        <v>FCCS_No Intercompany</v>
      </c>
      <c r="M1002" s="217" t="str">
        <f>+M$1</f>
        <v>No Custom1</v>
      </c>
      <c r="N1002" s="217" t="str">
        <f t="shared" si="334"/>
        <v>No Custom2</v>
      </c>
      <c r="O1002" s="217" t="s">
        <v>63</v>
      </c>
      <c r="P1002" s="217" t="s">
        <v>584</v>
      </c>
      <c r="Q1002" s="217" t="str">
        <f t="shared" si="335"/>
        <v>FCCS_ClosingBalance_Input</v>
      </c>
      <c r="R1002" s="217" t="str">
        <f t="shared" si="336"/>
        <v>Actual</v>
      </c>
      <c r="S1002" s="217" t="str">
        <f t="shared" si="336"/>
        <v>FCCS_YTD_Input</v>
      </c>
      <c r="T1002" s="217" t="s">
        <v>850</v>
      </c>
    </row>
    <row r="1003" spans="2:20" s="371" customFormat="1" x14ac:dyDescent="0.3">
      <c r="B1003" s="214" t="s">
        <v>667</v>
      </c>
      <c r="C1003" s="214" t="s">
        <v>896</v>
      </c>
      <c r="D1003" s="216" t="str">
        <f>[2]!HsSetValue(E1003,"FCC","Scenario#"&amp;R1003&amp;";Years#"&amp;J1003&amp;";Period#"&amp;I1003&amp;";View#"&amp;S1003&amp;";Entity#"&amp;H1003&amp;";Data Source#"&amp;K1003&amp;";Account#"&amp;F1003&amp;";Intercompany#"&amp;L1003&amp;";Movement#"&amp;Q1003&amp;";Consolidation#"&amp;T1003&amp;";Custom1#"&amp;M1003&amp;";Custom2#"&amp;N1003&amp;";Custom3#"&amp;O1003&amp;";Custom4#"&amp;P1003&amp;"")</f>
        <v>#Invalid Syntax</v>
      </c>
      <c r="E1003" s="216">
        <f>SUMIFS('Investment Analysis'!$H$22:$H$69,'Investment Analysis'!$E$22:$E$69,"US Treasuries Obligations",'Investment Analysis'!$AB$22:$AB$69,"3")</f>
        <v>0</v>
      </c>
      <c r="F1003" s="217" t="s">
        <v>674</v>
      </c>
      <c r="G1003" s="217" t="s">
        <v>1072</v>
      </c>
      <c r="H1003" s="218" t="e">
        <f t="shared" si="334"/>
        <v>#N/A</v>
      </c>
      <c r="I1003" s="218" t="str">
        <f t="shared" si="334"/>
        <v>Jun</v>
      </c>
      <c r="J1003" s="217" t="str">
        <f t="shared" si="334"/>
        <v>FY25</v>
      </c>
      <c r="K1003" s="217" t="str">
        <f t="shared" si="334"/>
        <v>FCCS_Other Data</v>
      </c>
      <c r="L1003" s="217" t="str">
        <f t="shared" si="334"/>
        <v>FCCS_No Intercompany</v>
      </c>
      <c r="M1003" s="217" t="str">
        <f>+M$1</f>
        <v>No Custom1</v>
      </c>
      <c r="N1003" s="217" t="str">
        <f t="shared" si="334"/>
        <v>No Custom2</v>
      </c>
      <c r="O1003" s="217" t="s">
        <v>622</v>
      </c>
      <c r="P1003" s="217" t="s">
        <v>584</v>
      </c>
      <c r="Q1003" s="217" t="str">
        <f t="shared" si="335"/>
        <v>FCCS_ClosingBalance_Input</v>
      </c>
      <c r="R1003" s="217" t="str">
        <f t="shared" si="336"/>
        <v>Actual</v>
      </c>
      <c r="S1003" s="217" t="str">
        <f t="shared" si="336"/>
        <v>FCCS_YTD_Input</v>
      </c>
      <c r="T1003" s="217" t="s">
        <v>850</v>
      </c>
    </row>
    <row r="1004" spans="2:20" s="371" customFormat="1" x14ac:dyDescent="0.3">
      <c r="B1004" s="214" t="s">
        <v>667</v>
      </c>
      <c r="C1004" s="214" t="s">
        <v>896</v>
      </c>
      <c r="D1004" s="216" t="str">
        <f>[2]!HsSetValue(E1004,"FCC","Scenario#"&amp;R1004&amp;";Years#"&amp;J1004&amp;";Period#"&amp;I1004&amp;";View#"&amp;S1004&amp;";Entity#"&amp;H1004&amp;";Data Source#"&amp;K1004&amp;";Account#"&amp;F1004&amp;";Intercompany#"&amp;L1004&amp;";Movement#"&amp;Q1004&amp;";Consolidation#"&amp;T1004&amp;";Custom1#"&amp;M1004&amp;";Custom2#"&amp;N1004&amp;";Custom3#"&amp;O1004&amp;";Custom4#"&amp;P1004&amp;"")</f>
        <v>#Invalid Syntax</v>
      </c>
      <c r="E1004" s="216">
        <f>SUMIFS('Investment Analysis'!$H$22:$H$69,'Investment Analysis'!$E$22:$E$69,"US Treasuries Obligations",'Investment Analysis'!$AB$22:$AB$69,"2")</f>
        <v>0</v>
      </c>
      <c r="F1004" s="217" t="s">
        <v>674</v>
      </c>
      <c r="G1004" s="217" t="s">
        <v>1072</v>
      </c>
      <c r="H1004" s="218" t="e">
        <f t="shared" si="334"/>
        <v>#N/A</v>
      </c>
      <c r="I1004" s="218" t="str">
        <f t="shared" si="334"/>
        <v>Jun</v>
      </c>
      <c r="J1004" s="217" t="str">
        <f t="shared" si="334"/>
        <v>FY25</v>
      </c>
      <c r="K1004" s="217" t="str">
        <f t="shared" si="334"/>
        <v>FCCS_Other Data</v>
      </c>
      <c r="L1004" s="217" t="str">
        <f t="shared" si="334"/>
        <v>FCCS_No Intercompany</v>
      </c>
      <c r="M1004" s="217" t="str">
        <f>+M$1</f>
        <v>No Custom1</v>
      </c>
      <c r="N1004" s="217" t="str">
        <f t="shared" si="334"/>
        <v>No Custom2</v>
      </c>
      <c r="O1004" s="217" t="s">
        <v>618</v>
      </c>
      <c r="P1004" s="217" t="s">
        <v>584</v>
      </c>
      <c r="Q1004" s="217" t="str">
        <f t="shared" si="335"/>
        <v>FCCS_ClosingBalance_Input</v>
      </c>
      <c r="R1004" s="217" t="str">
        <f t="shared" si="336"/>
        <v>Actual</v>
      </c>
      <c r="S1004" s="217" t="str">
        <f t="shared" si="336"/>
        <v>FCCS_YTD_Input</v>
      </c>
      <c r="T1004" s="217" t="s">
        <v>850</v>
      </c>
    </row>
    <row r="1005" spans="2:20" s="371" customFormat="1" x14ac:dyDescent="0.3">
      <c r="B1005" s="214" t="s">
        <v>667</v>
      </c>
      <c r="C1005" s="214" t="s">
        <v>896</v>
      </c>
      <c r="D1005" s="216" t="str">
        <f>[2]!HsSetValue(E1005,"FCC","Scenario#"&amp;R1005&amp;";Years#"&amp;J1005&amp;";Period#"&amp;I1005&amp;";View#"&amp;S1005&amp;";Entity#"&amp;H1005&amp;";Data Source#"&amp;K1005&amp;";Account#"&amp;F1005&amp;";Intercompany#"&amp;L1005&amp;";Movement#"&amp;Q1005&amp;";Consolidation#"&amp;T1005&amp;";Custom1#"&amp;M1005&amp;";Custom2#"&amp;N1005&amp;";Custom3#"&amp;O1005&amp;";Custom4#"&amp;P1005&amp;"")</f>
        <v>#Invalid Syntax</v>
      </c>
      <c r="E1005" s="216">
        <f>SUMIFS('Investment Analysis'!$H$22:$H$69,'Investment Analysis'!$E$22:$E$69,"US Treasuries Obligations",'Investment Analysis'!$AB$22:$AB$69,"1")</f>
        <v>0</v>
      </c>
      <c r="F1005" s="217" t="s">
        <v>674</v>
      </c>
      <c r="G1005" s="217" t="s">
        <v>1072</v>
      </c>
      <c r="H1005" s="218" t="e">
        <f t="shared" si="334"/>
        <v>#N/A</v>
      </c>
      <c r="I1005" s="218" t="str">
        <f t="shared" si="334"/>
        <v>Jun</v>
      </c>
      <c r="J1005" s="217" t="str">
        <f t="shared" si="334"/>
        <v>FY25</v>
      </c>
      <c r="K1005" s="217" t="str">
        <f t="shared" si="334"/>
        <v>FCCS_Other Data</v>
      </c>
      <c r="L1005" s="217" t="str">
        <f t="shared" si="334"/>
        <v>FCCS_No Intercompany</v>
      </c>
      <c r="M1005" s="217" t="str">
        <f>+M$1</f>
        <v>No Custom1</v>
      </c>
      <c r="N1005" s="217" t="str">
        <f t="shared" si="334"/>
        <v>No Custom2</v>
      </c>
      <c r="O1005" s="217" t="s">
        <v>64</v>
      </c>
      <c r="P1005" s="217" t="s">
        <v>584</v>
      </c>
      <c r="Q1005" s="217" t="str">
        <f t="shared" si="335"/>
        <v>FCCS_ClosingBalance_Input</v>
      </c>
      <c r="R1005" s="217" t="str">
        <f t="shared" si="336"/>
        <v>Actual</v>
      </c>
      <c r="S1005" s="217" t="str">
        <f t="shared" si="336"/>
        <v>FCCS_YTD_Input</v>
      </c>
      <c r="T1005" s="217" t="s">
        <v>850</v>
      </c>
    </row>
    <row r="1006" spans="2:20" x14ac:dyDescent="0.3">
      <c r="B1006" s="214" t="s">
        <v>667</v>
      </c>
      <c r="C1006" s="214" t="s">
        <v>896</v>
      </c>
      <c r="D1006" s="216" t="str">
        <f>[2]!HsSetValue(E1006,"FCC","Scenario#"&amp;R1006&amp;";Years#"&amp;J1006&amp;";Period#"&amp;I1006&amp;";View#"&amp;S1006&amp;";Entity#"&amp;H1006&amp;";Data Source#"&amp;K1006&amp;";Account#"&amp;F1006&amp;";Intercompany#"&amp;L1006&amp;";Movement#"&amp;Q1006&amp;";Consolidation#"&amp;T1006&amp;";Custom1#"&amp;M1006&amp;";Custom2#"&amp;N1006&amp;";Custom3#"&amp;O1006&amp;";Custom4#"&amp;P1006&amp;"")</f>
        <v>#Invalid Syntax</v>
      </c>
      <c r="E1006" s="216">
        <f>SUMIFS('Investment Analysis'!$H$22:$H$69,'Investment Analysis'!$E$22:$E$69,"US Treasuries Obligations",'Investment Analysis'!$AI$22:$AI$69,"16")</f>
        <v>0</v>
      </c>
      <c r="F1006" s="217" t="s">
        <v>674</v>
      </c>
      <c r="G1006" s="217" t="s">
        <v>1072</v>
      </c>
      <c r="H1006" s="218" t="e">
        <f t="shared" si="334"/>
        <v>#N/A</v>
      </c>
      <c r="I1006" s="218" t="str">
        <f t="shared" si="334"/>
        <v>Jun</v>
      </c>
      <c r="J1006" s="217" t="str">
        <f t="shared" si="334"/>
        <v>FY25</v>
      </c>
      <c r="K1006" s="217" t="s">
        <v>843</v>
      </c>
      <c r="L1006" s="217" t="s">
        <v>844</v>
      </c>
      <c r="M1006" s="217" t="s">
        <v>845</v>
      </c>
      <c r="N1006" s="217" t="s">
        <v>846</v>
      </c>
      <c r="O1006" s="217" t="s">
        <v>726</v>
      </c>
      <c r="P1006" s="217" t="s">
        <v>584</v>
      </c>
      <c r="Q1006" s="217" t="str">
        <f t="shared" si="335"/>
        <v>FCCS_ClosingBalance_Input</v>
      </c>
      <c r="R1006" s="217" t="s">
        <v>169</v>
      </c>
      <c r="S1006" s="217" t="s">
        <v>848</v>
      </c>
      <c r="T1006" s="217" t="s">
        <v>850</v>
      </c>
    </row>
    <row r="1007" spans="2:20" x14ac:dyDescent="0.3">
      <c r="B1007" s="214" t="s">
        <v>667</v>
      </c>
      <c r="C1007" s="214" t="s">
        <v>896</v>
      </c>
      <c r="D1007" s="216" t="str">
        <f>[2]!HsSetValue(E1007,"FCC","Scenario#"&amp;R1007&amp;";Years#"&amp;J1007&amp;";Period#"&amp;I1007&amp;";View#"&amp;S1007&amp;";Entity#"&amp;H1007&amp;";Data Source#"&amp;K1007&amp;";Account#"&amp;F1007&amp;";Intercompany#"&amp;L1007&amp;";Movement#"&amp;Q1007&amp;";Consolidation#"&amp;T1007&amp;";Custom1#"&amp;M1007&amp;";Custom2#"&amp;N1007&amp;";Custom3#"&amp;O1007&amp;";Custom4#"&amp;P1007&amp;"")</f>
        <v>#Invalid Syntax</v>
      </c>
      <c r="E1007" s="216">
        <f>SUMIFS('Investment Analysis'!$H$22:$H$69,'Investment Analysis'!$E$22:$E$69,"US Treasuries Obligations",'Investment Analysis'!$AI$22:$AI$69,"15")</f>
        <v>0</v>
      </c>
      <c r="F1007" s="217" t="s">
        <v>674</v>
      </c>
      <c r="G1007" s="217" t="s">
        <v>1072</v>
      </c>
      <c r="H1007" s="218" t="e">
        <f t="shared" si="334"/>
        <v>#N/A</v>
      </c>
      <c r="I1007" s="218" t="str">
        <f t="shared" si="334"/>
        <v>Jun</v>
      </c>
      <c r="J1007" s="217" t="str">
        <f t="shared" si="334"/>
        <v>FY25</v>
      </c>
      <c r="K1007" s="217" t="s">
        <v>843</v>
      </c>
      <c r="L1007" s="217" t="s">
        <v>844</v>
      </c>
      <c r="M1007" s="217" t="s">
        <v>845</v>
      </c>
      <c r="N1007" s="217" t="s">
        <v>846</v>
      </c>
      <c r="O1007" s="217" t="s">
        <v>727</v>
      </c>
      <c r="P1007" s="217" t="s">
        <v>584</v>
      </c>
      <c r="Q1007" s="217" t="str">
        <f t="shared" si="335"/>
        <v>FCCS_ClosingBalance_Input</v>
      </c>
      <c r="R1007" s="217" t="s">
        <v>169</v>
      </c>
      <c r="S1007" s="217" t="s">
        <v>848</v>
      </c>
      <c r="T1007" s="217" t="s">
        <v>850</v>
      </c>
    </row>
    <row r="1008" spans="2:20" x14ac:dyDescent="0.3">
      <c r="B1008" s="214" t="s">
        <v>667</v>
      </c>
      <c r="C1008" s="214" t="s">
        <v>896</v>
      </c>
      <c r="D1008" s="216" t="str">
        <f>[2]!HsSetValue(E1008,"FCC","Scenario#"&amp;R1008&amp;";Years#"&amp;J1008&amp;";Period#"&amp;I1008&amp;";View#"&amp;S1008&amp;";Entity#"&amp;H1008&amp;";Data Source#"&amp;K1008&amp;";Account#"&amp;F1008&amp;";Intercompany#"&amp;L1008&amp;";Movement#"&amp;Q1008&amp;";Consolidation#"&amp;T1008&amp;";Custom1#"&amp;M1008&amp;";Custom2#"&amp;N1008&amp;";Custom3#"&amp;O1008&amp;";Custom4#"&amp;P1008&amp;"")</f>
        <v>#Invalid Syntax</v>
      </c>
      <c r="E1008" s="216">
        <f>SUMIFS('Investment Analysis'!$H$22:$H$69,'Investment Analysis'!$E$22:$E$69,"US Treasuries Obligations",'Investment Analysis'!$AI$22:$AI$69,"14")</f>
        <v>0</v>
      </c>
      <c r="F1008" s="217" t="s">
        <v>674</v>
      </c>
      <c r="G1008" s="217" t="s">
        <v>1072</v>
      </c>
      <c r="H1008" s="218" t="e">
        <f t="shared" si="334"/>
        <v>#N/A</v>
      </c>
      <c r="I1008" s="218" t="str">
        <f t="shared" si="334"/>
        <v>Jun</v>
      </c>
      <c r="J1008" s="217" t="str">
        <f t="shared" si="334"/>
        <v>FY25</v>
      </c>
      <c r="K1008" s="217" t="s">
        <v>843</v>
      </c>
      <c r="L1008" s="217" t="s">
        <v>844</v>
      </c>
      <c r="M1008" s="217" t="s">
        <v>845</v>
      </c>
      <c r="N1008" s="217" t="s">
        <v>846</v>
      </c>
      <c r="O1008" s="217" t="s">
        <v>728</v>
      </c>
      <c r="P1008" s="217" t="s">
        <v>584</v>
      </c>
      <c r="Q1008" s="217" t="str">
        <f t="shared" si="335"/>
        <v>FCCS_ClosingBalance_Input</v>
      </c>
      <c r="R1008" s="217" t="s">
        <v>169</v>
      </c>
      <c r="S1008" s="217" t="s">
        <v>848</v>
      </c>
      <c r="T1008" s="217" t="s">
        <v>850</v>
      </c>
    </row>
    <row r="1009" spans="2:20" x14ac:dyDescent="0.3">
      <c r="B1009" s="214" t="s">
        <v>667</v>
      </c>
      <c r="C1009" s="214" t="s">
        <v>896</v>
      </c>
      <c r="D1009" s="216" t="str">
        <f>[2]!HsSetValue(E1009,"FCC","Scenario#"&amp;R1009&amp;";Years#"&amp;J1009&amp;";Period#"&amp;I1009&amp;";View#"&amp;S1009&amp;";Entity#"&amp;H1009&amp;";Data Source#"&amp;K1009&amp;";Account#"&amp;F1009&amp;";Intercompany#"&amp;L1009&amp;";Movement#"&amp;Q1009&amp;";Consolidation#"&amp;T1009&amp;";Custom1#"&amp;M1009&amp;";Custom2#"&amp;N1009&amp;";Custom3#"&amp;O1009&amp;";Custom4#"&amp;P1009&amp;"")</f>
        <v>#Invalid Syntax</v>
      </c>
      <c r="E1009" s="216">
        <f>SUMIFS('Investment Analysis'!$H$22:$H$69,'Investment Analysis'!$E$22:$E$69,"US Treasuries Obligations",'Investment Analysis'!$AB$22:$AB$69,"0")+SUMIFS('Investment Analysis'!$H$22:$H$69,'Investment Analysis'!$E$22:$E$69,"US Treasuries Obligations",'Investment Analysis'!$AI$22:$AI$69,"0")</f>
        <v>0</v>
      </c>
      <c r="F1009" s="217" t="s">
        <v>674</v>
      </c>
      <c r="G1009" s="217" t="s">
        <v>1072</v>
      </c>
      <c r="H1009" s="218" t="e">
        <f t="shared" si="334"/>
        <v>#N/A</v>
      </c>
      <c r="I1009" s="218" t="str">
        <f t="shared" si="334"/>
        <v>Jun</v>
      </c>
      <c r="J1009" s="217" t="str">
        <f t="shared" si="334"/>
        <v>FY25</v>
      </c>
      <c r="K1009" s="217" t="s">
        <v>843</v>
      </c>
      <c r="L1009" s="217" t="s">
        <v>844</v>
      </c>
      <c r="M1009" s="217" t="s">
        <v>845</v>
      </c>
      <c r="N1009" s="217" t="s">
        <v>846</v>
      </c>
      <c r="O1009" s="217" t="s">
        <v>609</v>
      </c>
      <c r="P1009" s="217" t="s">
        <v>584</v>
      </c>
      <c r="Q1009" s="217" t="str">
        <f t="shared" si="335"/>
        <v>FCCS_ClosingBalance_Input</v>
      </c>
      <c r="R1009" s="217" t="s">
        <v>169</v>
      </c>
      <c r="S1009" s="217" t="s">
        <v>848</v>
      </c>
      <c r="T1009" s="217" t="s">
        <v>850</v>
      </c>
    </row>
    <row r="1010" spans="2:20" x14ac:dyDescent="0.3">
      <c r="B1010" s="210"/>
      <c r="C1010" s="210"/>
      <c r="D1010" s="212"/>
      <c r="E1010" s="212"/>
    </row>
    <row r="1011" spans="2:20" x14ac:dyDescent="0.3">
      <c r="B1011" s="219" t="s">
        <v>1014</v>
      </c>
      <c r="C1011" s="219" t="s">
        <v>896</v>
      </c>
      <c r="D1011" s="221" t="str">
        <f>[2]!HsSetValue(E1011,"FCC","Scenario#"&amp;R1011&amp;";Years#"&amp;J1011&amp;";Period#"&amp;I1011&amp;";View#"&amp;S1011&amp;";Entity#"&amp;H1011&amp;";Data Source#"&amp;K1011&amp;";Account#"&amp;F1011&amp;";Intercompany#"&amp;L1011&amp;";Movement#"&amp;Q1011&amp;";Consolidation#"&amp;T1011&amp;";Custom1#"&amp;M1011&amp;";Custom2#"&amp;N1011&amp;";Custom3#"&amp;O1011&amp;";Custom4#"&amp;P1011&amp;"")</f>
        <v>#Invalid Syntax</v>
      </c>
      <c r="E1011" s="221">
        <f>SUMIFS('Investment Analysis'!$H$22:$H$69,'Investment Analysis'!$E$22:$E$69,"US Treasuries Obligations",'Investment Analysis'!$AK$22:$AK$69,"21")</f>
        <v>0</v>
      </c>
      <c r="F1011" s="222" t="s">
        <v>675</v>
      </c>
      <c r="G1011" s="222" t="s">
        <v>1044</v>
      </c>
      <c r="H1011" s="223" t="e">
        <f>+H$2</f>
        <v>#N/A</v>
      </c>
      <c r="I1011" s="223" t="str">
        <f t="shared" ref="I1011:J1015" si="337">+I$2</f>
        <v>Jun</v>
      </c>
      <c r="J1011" s="222" t="str">
        <f t="shared" si="334"/>
        <v>FY25</v>
      </c>
      <c r="K1011" s="222" t="s">
        <v>843</v>
      </c>
      <c r="L1011" s="222" t="s">
        <v>844</v>
      </c>
      <c r="M1011" s="222" t="s">
        <v>845</v>
      </c>
      <c r="N1011" s="222" t="s">
        <v>846</v>
      </c>
      <c r="O1011" s="222" t="s">
        <v>729</v>
      </c>
      <c r="P1011" s="222" t="s">
        <v>584</v>
      </c>
      <c r="Q1011" s="222" t="str">
        <f t="shared" ref="Q1011:Q1015" si="338">Q$2</f>
        <v>FCCS_ClosingBalance_Input</v>
      </c>
      <c r="R1011" s="222" t="s">
        <v>169</v>
      </c>
      <c r="S1011" s="222" t="s">
        <v>848</v>
      </c>
      <c r="T1011" s="222" t="s">
        <v>850</v>
      </c>
    </row>
    <row r="1012" spans="2:20" x14ac:dyDescent="0.3">
      <c r="B1012" s="219" t="s">
        <v>1014</v>
      </c>
      <c r="C1012" s="219" t="s">
        <v>896</v>
      </c>
      <c r="D1012" s="221" t="str">
        <f>[2]!HsSetValue(E1012,"FCC","Scenario#"&amp;R1012&amp;";Years#"&amp;J1012&amp;";Period#"&amp;I1012&amp;";View#"&amp;S1012&amp;";Entity#"&amp;H1012&amp;";Data Source#"&amp;K1012&amp;";Account#"&amp;F1012&amp;";Intercompany#"&amp;L1012&amp;";Movement#"&amp;Q1012&amp;";Consolidation#"&amp;T1012&amp;";Custom1#"&amp;M1012&amp;";Custom2#"&amp;N1012&amp;";Custom3#"&amp;O1012&amp;";Custom4#"&amp;P1012&amp;"")</f>
        <v>#Invalid Syntax</v>
      </c>
      <c r="E1012" s="221">
        <f>SUMIFS('Investment Analysis'!$H$22:$H$69,'Investment Analysis'!$E$22:$E$69,"US Treasuries Obligations",'Investment Analysis'!$AK$22:$AK$69,"22")</f>
        <v>0</v>
      </c>
      <c r="F1012" s="222" t="s">
        <v>675</v>
      </c>
      <c r="G1012" s="222" t="s">
        <v>1044</v>
      </c>
      <c r="H1012" s="223" t="e">
        <f>+H$2</f>
        <v>#N/A</v>
      </c>
      <c r="I1012" s="223" t="str">
        <f t="shared" si="337"/>
        <v>Jun</v>
      </c>
      <c r="J1012" s="222" t="str">
        <f t="shared" si="337"/>
        <v>FY25</v>
      </c>
      <c r="K1012" s="222" t="s">
        <v>843</v>
      </c>
      <c r="L1012" s="222" t="s">
        <v>844</v>
      </c>
      <c r="M1012" s="222" t="s">
        <v>845</v>
      </c>
      <c r="N1012" s="222" t="s">
        <v>846</v>
      </c>
      <c r="O1012" s="222" t="s">
        <v>730</v>
      </c>
      <c r="P1012" s="222" t="s">
        <v>584</v>
      </c>
      <c r="Q1012" s="222" t="str">
        <f t="shared" si="338"/>
        <v>FCCS_ClosingBalance_Input</v>
      </c>
      <c r="R1012" s="222" t="s">
        <v>169</v>
      </c>
      <c r="S1012" s="222" t="s">
        <v>848</v>
      </c>
      <c r="T1012" s="222" t="s">
        <v>850</v>
      </c>
    </row>
    <row r="1013" spans="2:20" x14ac:dyDescent="0.3">
      <c r="B1013" s="219" t="s">
        <v>1014</v>
      </c>
      <c r="C1013" s="219" t="s">
        <v>896</v>
      </c>
      <c r="D1013" s="221" t="str">
        <f>[2]!HsSetValue(E1013,"FCC","Scenario#"&amp;R1013&amp;";Years#"&amp;J1013&amp;";Period#"&amp;I1013&amp;";View#"&amp;S1013&amp;";Entity#"&amp;H1013&amp;";Data Source#"&amp;K1013&amp;";Account#"&amp;F1013&amp;";Intercompany#"&amp;L1013&amp;";Movement#"&amp;Q1013&amp;";Consolidation#"&amp;T1013&amp;";Custom1#"&amp;M1013&amp;";Custom2#"&amp;N1013&amp;";Custom3#"&amp;O1013&amp;";Custom4#"&amp;P1013&amp;"")</f>
        <v>#Invalid Syntax</v>
      </c>
      <c r="E1013" s="221">
        <f>SUMIFS('Investment Analysis'!$H$22:$H$69,'Investment Analysis'!$E$22:$E$69,"US Treasuries Obligations",'Investment Analysis'!$AK$22:$AK$69,"23")</f>
        <v>0</v>
      </c>
      <c r="F1013" s="222" t="s">
        <v>675</v>
      </c>
      <c r="G1013" s="222" t="s">
        <v>1044</v>
      </c>
      <c r="H1013" s="223" t="e">
        <f>+H$2</f>
        <v>#N/A</v>
      </c>
      <c r="I1013" s="223" t="str">
        <f t="shared" si="337"/>
        <v>Jun</v>
      </c>
      <c r="J1013" s="222" t="str">
        <f t="shared" si="337"/>
        <v>FY25</v>
      </c>
      <c r="K1013" s="222" t="s">
        <v>843</v>
      </c>
      <c r="L1013" s="222" t="s">
        <v>844</v>
      </c>
      <c r="M1013" s="222" t="s">
        <v>845</v>
      </c>
      <c r="N1013" s="222" t="s">
        <v>846</v>
      </c>
      <c r="O1013" s="222" t="s">
        <v>731</v>
      </c>
      <c r="P1013" s="222" t="s">
        <v>584</v>
      </c>
      <c r="Q1013" s="222" t="str">
        <f t="shared" si="338"/>
        <v>FCCS_ClosingBalance_Input</v>
      </c>
      <c r="R1013" s="222" t="s">
        <v>169</v>
      </c>
      <c r="S1013" s="222" t="s">
        <v>848</v>
      </c>
      <c r="T1013" s="222" t="s">
        <v>850</v>
      </c>
    </row>
    <row r="1014" spans="2:20" x14ac:dyDescent="0.3">
      <c r="B1014" s="219" t="s">
        <v>1014</v>
      </c>
      <c r="C1014" s="219" t="s">
        <v>896</v>
      </c>
      <c r="D1014" s="221" t="str">
        <f>[2]!HsSetValue(E1014,"FCC","Scenario#"&amp;R1014&amp;";Years#"&amp;J1014&amp;";Period#"&amp;I1014&amp;";View#"&amp;S1014&amp;";Entity#"&amp;H1014&amp;";Data Source#"&amp;K1014&amp;";Account#"&amp;F1014&amp;";Intercompany#"&amp;L1014&amp;";Movement#"&amp;Q1014&amp;";Consolidation#"&amp;T1014&amp;";Custom1#"&amp;M1014&amp;";Custom2#"&amp;N1014&amp;";Custom3#"&amp;O1014&amp;";Custom4#"&amp;P1014&amp;"")</f>
        <v>#Invalid Syntax</v>
      </c>
      <c r="E1014" s="221">
        <f>SUMIFS('Investment Analysis'!$H$22:$H$69,'Investment Analysis'!$E$22:$E$69,"US Treasuries Obligations",'Investment Analysis'!$AK$22:$AK$69,"24")</f>
        <v>0</v>
      </c>
      <c r="F1014" s="222" t="s">
        <v>675</v>
      </c>
      <c r="G1014" s="222" t="s">
        <v>1044</v>
      </c>
      <c r="H1014" s="223" t="e">
        <f>+H$2</f>
        <v>#N/A</v>
      </c>
      <c r="I1014" s="223" t="str">
        <f t="shared" si="337"/>
        <v>Jun</v>
      </c>
      <c r="J1014" s="222" t="str">
        <f t="shared" si="337"/>
        <v>FY25</v>
      </c>
      <c r="K1014" s="222" t="s">
        <v>843</v>
      </c>
      <c r="L1014" s="222" t="s">
        <v>844</v>
      </c>
      <c r="M1014" s="222" t="s">
        <v>845</v>
      </c>
      <c r="N1014" s="222" t="s">
        <v>846</v>
      </c>
      <c r="O1014" s="222" t="s">
        <v>732</v>
      </c>
      <c r="P1014" s="222" t="s">
        <v>584</v>
      </c>
      <c r="Q1014" s="222" t="str">
        <f t="shared" si="338"/>
        <v>FCCS_ClosingBalance_Input</v>
      </c>
      <c r="R1014" s="222" t="s">
        <v>169</v>
      </c>
      <c r="S1014" s="222" t="s">
        <v>848</v>
      </c>
      <c r="T1014" s="222" t="s">
        <v>850</v>
      </c>
    </row>
    <row r="1015" spans="2:20" x14ac:dyDescent="0.3">
      <c r="B1015" s="219" t="s">
        <v>1014</v>
      </c>
      <c r="C1015" s="219" t="s">
        <v>896</v>
      </c>
      <c r="D1015" s="221" t="str">
        <f>[2]!HsSetValue(E1015,"FCC","Scenario#"&amp;R1015&amp;";Years#"&amp;J1015&amp;";Period#"&amp;I1015&amp;";View#"&amp;S1015&amp;";Entity#"&amp;H1015&amp;";Data Source#"&amp;K1015&amp;";Account#"&amp;F1015&amp;";Intercompany#"&amp;L1015&amp;";Movement#"&amp;Q1015&amp;";Consolidation#"&amp;T1015&amp;";Custom1#"&amp;M1015&amp;";Custom2#"&amp;N1015&amp;";Custom3#"&amp;O1015&amp;";Custom4#"&amp;P1015&amp;"")</f>
        <v>#Invalid Syntax</v>
      </c>
      <c r="E1015" s="221">
        <f>SUMIFS('Investment Analysis'!$H$22:$H$69,'Investment Analysis'!$E$22:$E$69,"US Agencies-Not Guaranteed",'Investment Analysis'!$AK$22:$AK$69,"25")</f>
        <v>0</v>
      </c>
      <c r="F1015" s="222" t="s">
        <v>675</v>
      </c>
      <c r="G1015" s="222" t="s">
        <v>1044</v>
      </c>
      <c r="H1015" s="223" t="e">
        <f>+H$2</f>
        <v>#N/A</v>
      </c>
      <c r="I1015" s="223" t="str">
        <f t="shared" si="337"/>
        <v>Jun</v>
      </c>
      <c r="J1015" s="222" t="str">
        <f t="shared" si="337"/>
        <v>FY25</v>
      </c>
      <c r="K1015" s="222" t="s">
        <v>843</v>
      </c>
      <c r="L1015" s="222" t="s">
        <v>844</v>
      </c>
      <c r="M1015" s="222" t="s">
        <v>845</v>
      </c>
      <c r="N1015" s="222" t="s">
        <v>846</v>
      </c>
      <c r="O1015" s="222" t="s">
        <v>733</v>
      </c>
      <c r="P1015" s="222" t="s">
        <v>584</v>
      </c>
      <c r="Q1015" s="222" t="str">
        <f t="shared" si="338"/>
        <v>FCCS_ClosingBalance_Input</v>
      </c>
      <c r="R1015" s="222" t="s">
        <v>169</v>
      </c>
      <c r="S1015" s="222" t="s">
        <v>848</v>
      </c>
      <c r="T1015" s="222" t="s">
        <v>850</v>
      </c>
    </row>
    <row r="1017" spans="2:20" x14ac:dyDescent="0.3">
      <c r="B1017" s="364" t="s">
        <v>668</v>
      </c>
      <c r="C1017" s="364" t="s">
        <v>958</v>
      </c>
      <c r="D1017" s="366" t="str">
        <f>[2]!HsSetValue(E1017,"FCC","Scenario#"&amp;R1017&amp;";Years#"&amp;J1017&amp;";Period#"&amp;I1017&amp;";View#"&amp;S1017&amp;";Entity#"&amp;H1017&amp;";Data Source#"&amp;K1017&amp;";Account#"&amp;F1017&amp;";Intercompany#"&amp;L1017&amp;";Movement#"&amp;Q1017&amp;";Consolidation#"&amp;T1017&amp;";Custom1#"&amp;M1017&amp;";Custom2#"&amp;N1017&amp;";Custom3#"&amp;O1017&amp;";Custom4#"&amp;P1017&amp;"")</f>
        <v>#Invalid Syntax</v>
      </c>
      <c r="E1017" s="366">
        <f>SUMIF('Investment Analysis'!$E$22:$E$69,'FCC Investments - Load Tab'!C1017,'Investment Analysis'!$K$22:$K$69)</f>
        <v>0</v>
      </c>
      <c r="F1017" s="367" t="s">
        <v>673</v>
      </c>
      <c r="G1017" s="367" t="str">
        <f>"Inv. Analysis - Interest Rate Risk - "&amp;C1017</f>
        <v>Inv. Analysis - Interest Rate Risk - Other</v>
      </c>
      <c r="H1017" s="368" t="e">
        <f>+H$2</f>
        <v>#N/A</v>
      </c>
      <c r="I1017" s="368" t="str">
        <f t="shared" ref="I1017:I1021" si="339">+I$2</f>
        <v>Jun</v>
      </c>
      <c r="J1017" s="367" t="str">
        <f>+J$2</f>
        <v>FY25</v>
      </c>
      <c r="K1017" s="367" t="s">
        <v>843</v>
      </c>
      <c r="L1017" s="367" t="s">
        <v>844</v>
      </c>
      <c r="M1017" s="367" t="s">
        <v>845</v>
      </c>
      <c r="N1017" s="367" t="s">
        <v>846</v>
      </c>
      <c r="O1017" s="367" t="s">
        <v>721</v>
      </c>
      <c r="P1017" s="367" t="s">
        <v>881</v>
      </c>
      <c r="Q1017" s="367" t="str">
        <f t="shared" ref="Q1017:Q1021" si="340">Q$2</f>
        <v>FCCS_ClosingBalance_Input</v>
      </c>
      <c r="R1017" s="367" t="s">
        <v>169</v>
      </c>
      <c r="S1017" s="367" t="s">
        <v>848</v>
      </c>
      <c r="T1017" s="367" t="s">
        <v>850</v>
      </c>
    </row>
    <row r="1018" spans="2:20" x14ac:dyDescent="0.3">
      <c r="B1018" s="364" t="s">
        <v>668</v>
      </c>
      <c r="C1018" s="364" t="s">
        <v>958</v>
      </c>
      <c r="D1018" s="366" t="str">
        <f>[2]!HsSetValue(E1018,"FCC","Scenario#"&amp;R1018&amp;";Years#"&amp;J1018&amp;";Period#"&amp;I1018&amp;";View#"&amp;S1018&amp;";Entity#"&amp;H1018&amp;";Data Source#"&amp;K1018&amp;";Account#"&amp;F1018&amp;";Intercompany#"&amp;L1018&amp;";Movement#"&amp;Q1018&amp;";Consolidation#"&amp;T1018&amp;";Custom1#"&amp;M1018&amp;";Custom2#"&amp;N1018&amp;";Custom3#"&amp;O1018&amp;";Custom4#"&amp;P1018&amp;"")</f>
        <v>#Invalid Syntax</v>
      </c>
      <c r="E1018" s="366">
        <f>SUMIF('Investment Analysis'!$E$22:$E$69,'FCC Investments - Load Tab'!C1017,'Investment Analysis'!$L$22:$L$69)</f>
        <v>0</v>
      </c>
      <c r="F1018" s="367" t="s">
        <v>673</v>
      </c>
      <c r="G1018" s="367" t="str">
        <f t="shared" ref="G1018:G1021" si="341">"Inv. Analysis - Interest Rate Risk - "&amp;C1018</f>
        <v>Inv. Analysis - Interest Rate Risk - Other</v>
      </c>
      <c r="H1018" s="368" t="e">
        <f>+H$2</f>
        <v>#N/A</v>
      </c>
      <c r="I1018" s="368" t="str">
        <f t="shared" si="339"/>
        <v>Jun</v>
      </c>
      <c r="J1018" s="367" t="str">
        <f>+J$2</f>
        <v>FY25</v>
      </c>
      <c r="K1018" s="367" t="str">
        <f t="shared" ref="K1018:N1021" si="342">+K$2</f>
        <v>FCCS_Other Data</v>
      </c>
      <c r="L1018" s="367" t="str">
        <f t="shared" si="342"/>
        <v>FCCS_No Intercompany</v>
      </c>
      <c r="M1018" s="367" t="str">
        <f>+M$1</f>
        <v>No Custom1</v>
      </c>
      <c r="N1018" s="367" t="str">
        <f t="shared" si="342"/>
        <v>No Custom2</v>
      </c>
      <c r="O1018" s="367" t="s">
        <v>722</v>
      </c>
      <c r="P1018" s="367" t="s">
        <v>881</v>
      </c>
      <c r="Q1018" s="367" t="str">
        <f t="shared" si="340"/>
        <v>FCCS_ClosingBalance_Input</v>
      </c>
      <c r="R1018" s="367" t="str">
        <f t="shared" ref="R1018:S1021" si="343">+R$2</f>
        <v>Actual</v>
      </c>
      <c r="S1018" s="367" t="str">
        <f t="shared" si="343"/>
        <v>FCCS_YTD_Input</v>
      </c>
      <c r="T1018" s="367" t="s">
        <v>850</v>
      </c>
    </row>
    <row r="1019" spans="2:20" x14ac:dyDescent="0.3">
      <c r="B1019" s="364" t="s">
        <v>668</v>
      </c>
      <c r="C1019" s="364" t="s">
        <v>958</v>
      </c>
      <c r="D1019" s="366" t="str">
        <f>[2]!HsSetValue(E1019,"FCC","Scenario#"&amp;R1019&amp;";Years#"&amp;J1019&amp;";Period#"&amp;I1019&amp;";View#"&amp;S1019&amp;";Entity#"&amp;H1019&amp;";Data Source#"&amp;K1019&amp;";Account#"&amp;F1019&amp;";Intercompany#"&amp;L1019&amp;";Movement#"&amp;Q1019&amp;";Consolidation#"&amp;T1019&amp;";Custom1#"&amp;M1019&amp;";Custom2#"&amp;N1019&amp;";Custom3#"&amp;O1019&amp;";Custom4#"&amp;P1019&amp;"")</f>
        <v>#Invalid Syntax</v>
      </c>
      <c r="E1019" s="366">
        <f>SUMIF('Investment Analysis'!$E$22:$E$69,'FCC Investments - Load Tab'!C1017,'Investment Analysis'!$M$22:$M$69)</f>
        <v>0</v>
      </c>
      <c r="F1019" s="367" t="s">
        <v>673</v>
      </c>
      <c r="G1019" s="367" t="str">
        <f t="shared" si="341"/>
        <v>Inv. Analysis - Interest Rate Risk - Other</v>
      </c>
      <c r="H1019" s="368" t="e">
        <f>+H$2</f>
        <v>#N/A</v>
      </c>
      <c r="I1019" s="368" t="str">
        <f t="shared" si="339"/>
        <v>Jun</v>
      </c>
      <c r="J1019" s="367" t="str">
        <f>+J$2</f>
        <v>FY25</v>
      </c>
      <c r="K1019" s="367" t="str">
        <f t="shared" si="342"/>
        <v>FCCS_Other Data</v>
      </c>
      <c r="L1019" s="367" t="str">
        <f t="shared" si="342"/>
        <v>FCCS_No Intercompany</v>
      </c>
      <c r="M1019" s="367" t="str">
        <f>+M$1</f>
        <v>No Custom1</v>
      </c>
      <c r="N1019" s="367" t="str">
        <f t="shared" si="342"/>
        <v>No Custom2</v>
      </c>
      <c r="O1019" s="367" t="s">
        <v>723</v>
      </c>
      <c r="P1019" s="367" t="s">
        <v>881</v>
      </c>
      <c r="Q1019" s="367" t="str">
        <f t="shared" si="340"/>
        <v>FCCS_ClosingBalance_Input</v>
      </c>
      <c r="R1019" s="367" t="str">
        <f t="shared" si="343"/>
        <v>Actual</v>
      </c>
      <c r="S1019" s="367" t="str">
        <f t="shared" si="343"/>
        <v>FCCS_YTD_Input</v>
      </c>
      <c r="T1019" s="367" t="s">
        <v>850</v>
      </c>
    </row>
    <row r="1020" spans="2:20" x14ac:dyDescent="0.3">
      <c r="B1020" s="364" t="s">
        <v>668</v>
      </c>
      <c r="C1020" s="364" t="s">
        <v>958</v>
      </c>
      <c r="D1020" s="366" t="str">
        <f>[2]!HsSetValue(E1020,"FCC","Scenario#"&amp;R1020&amp;";Years#"&amp;J1020&amp;";Period#"&amp;I1020&amp;";View#"&amp;S1020&amp;";Entity#"&amp;H1020&amp;";Data Source#"&amp;K1020&amp;";Account#"&amp;F1020&amp;";Intercompany#"&amp;L1020&amp;";Movement#"&amp;Q1020&amp;";Consolidation#"&amp;T1020&amp;";Custom1#"&amp;M1020&amp;";Custom2#"&amp;N1020&amp;";Custom3#"&amp;O1020&amp;";Custom4#"&amp;P1020&amp;"")</f>
        <v>#Invalid Syntax</v>
      </c>
      <c r="E1020" s="366">
        <f>SUMIF('Investment Analysis'!$E$22:$E$69,'FCC Investments - Load Tab'!C1020,'Investment Analysis'!$N$22:$N$69)</f>
        <v>0</v>
      </c>
      <c r="F1020" s="367" t="s">
        <v>673</v>
      </c>
      <c r="G1020" s="367" t="str">
        <f t="shared" si="341"/>
        <v>Inv. Analysis - Interest Rate Risk - Other</v>
      </c>
      <c r="H1020" s="368" t="e">
        <f>+H$2</f>
        <v>#N/A</v>
      </c>
      <c r="I1020" s="368" t="str">
        <f t="shared" si="339"/>
        <v>Jun</v>
      </c>
      <c r="J1020" s="367" t="str">
        <f>+J$2</f>
        <v>FY25</v>
      </c>
      <c r="K1020" s="367" t="str">
        <f t="shared" si="342"/>
        <v>FCCS_Other Data</v>
      </c>
      <c r="L1020" s="367" t="str">
        <f t="shared" si="342"/>
        <v>FCCS_No Intercompany</v>
      </c>
      <c r="M1020" s="367" t="str">
        <f>+M$1</f>
        <v>No Custom1</v>
      </c>
      <c r="N1020" s="367" t="str">
        <f t="shared" si="342"/>
        <v>No Custom2</v>
      </c>
      <c r="O1020" s="367" t="s">
        <v>724</v>
      </c>
      <c r="P1020" s="367" t="s">
        <v>881</v>
      </c>
      <c r="Q1020" s="367" t="str">
        <f t="shared" si="340"/>
        <v>FCCS_ClosingBalance_Input</v>
      </c>
      <c r="R1020" s="367" t="str">
        <f t="shared" si="343"/>
        <v>Actual</v>
      </c>
      <c r="S1020" s="367" t="str">
        <f t="shared" si="343"/>
        <v>FCCS_YTD_Input</v>
      </c>
      <c r="T1020" s="367" t="s">
        <v>850</v>
      </c>
    </row>
    <row r="1021" spans="2:20" x14ac:dyDescent="0.3">
      <c r="B1021" s="364" t="s">
        <v>668</v>
      </c>
      <c r="C1021" s="364" t="s">
        <v>958</v>
      </c>
      <c r="D1021" s="366" t="str">
        <f>[2]!HsSetValue(E1021,"FCC","Scenario#"&amp;R1021&amp;";Years#"&amp;J1021&amp;";Period#"&amp;I1021&amp;";View#"&amp;S1021&amp;";Entity#"&amp;H1021&amp;";Data Source#"&amp;K1021&amp;";Account#"&amp;F1021&amp;";Intercompany#"&amp;L1021&amp;";Movement#"&amp;Q1021&amp;";Consolidation#"&amp;T1021&amp;";Custom1#"&amp;M1021&amp;";Custom2#"&amp;N1021&amp;";Custom3#"&amp;O1021&amp;";Custom4#"&amp;P1021&amp;"")</f>
        <v>#Invalid Syntax</v>
      </c>
      <c r="E1021" s="366">
        <f>SUMIF('Investment Analysis'!$E$2:$E$69,'FCC Investments - Load Tab'!C1021,'Investment Analysis'!$O$2:$O$69)</f>
        <v>0</v>
      </c>
      <c r="F1021" s="367" t="s">
        <v>673</v>
      </c>
      <c r="G1021" s="367" t="str">
        <f t="shared" si="341"/>
        <v>Inv. Analysis - Interest Rate Risk - Other</v>
      </c>
      <c r="H1021" s="368" t="e">
        <f>+H$2</f>
        <v>#N/A</v>
      </c>
      <c r="I1021" s="368" t="str">
        <f t="shared" si="339"/>
        <v>Jun</v>
      </c>
      <c r="J1021" s="367" t="str">
        <f>+J$2</f>
        <v>FY25</v>
      </c>
      <c r="K1021" s="367" t="str">
        <f t="shared" si="342"/>
        <v>FCCS_Other Data</v>
      </c>
      <c r="L1021" s="367" t="str">
        <f t="shared" si="342"/>
        <v>FCCS_No Intercompany</v>
      </c>
      <c r="M1021" s="367" t="str">
        <f>+M$1</f>
        <v>No Custom1</v>
      </c>
      <c r="N1021" s="367" t="str">
        <f t="shared" si="342"/>
        <v>No Custom2</v>
      </c>
      <c r="O1021" s="367" t="s">
        <v>725</v>
      </c>
      <c r="P1021" s="367" t="s">
        <v>881</v>
      </c>
      <c r="Q1021" s="367" t="str">
        <f t="shared" si="340"/>
        <v>FCCS_ClosingBalance_Input</v>
      </c>
      <c r="R1021" s="367" t="str">
        <f t="shared" si="343"/>
        <v>Actual</v>
      </c>
      <c r="S1021" s="367" t="str">
        <f t="shared" si="343"/>
        <v>FCCS_YTD_Input</v>
      </c>
      <c r="T1021" s="367" t="s">
        <v>850</v>
      </c>
    </row>
    <row r="1022" spans="2:20" ht="16.5" customHeight="1" x14ac:dyDescent="0.3">
      <c r="B1022" s="210"/>
      <c r="C1022" s="210"/>
      <c r="D1022" s="212"/>
      <c r="E1022" s="212"/>
    </row>
    <row r="1023" spans="2:20" x14ac:dyDescent="0.3">
      <c r="B1023" s="214" t="s">
        <v>667</v>
      </c>
      <c r="C1023" s="214" t="s">
        <v>872</v>
      </c>
      <c r="D1023" s="216" t="str">
        <f>[2]!HsSetValue(E1023,"FCC","Scenario#"&amp;R1023&amp;";Years#"&amp;J1023&amp;";Period#"&amp;I1023&amp;";View#"&amp;S1023&amp;";Entity#"&amp;H1023&amp;";Data Source#"&amp;K1023&amp;";Account#"&amp;F1023&amp;";Intercompany#"&amp;L1023&amp;";Movement#"&amp;Q1023&amp;";Consolidation#"&amp;T1023&amp;";Custom1#"&amp;M1023&amp;";Custom2#"&amp;N1023&amp;";Custom3#"&amp;O1023&amp;";Custom4#"&amp;P1023&amp;"")</f>
        <v>#Invalid Syntax</v>
      </c>
      <c r="E1023" s="216">
        <f>SUMIFS('Investment Analysis'!$H$22:$H$69,'Investment Analysis'!$E$22:$E$69,"Other",'Investment Analysis'!$AB$22:$AB$69,"10")</f>
        <v>0</v>
      </c>
      <c r="F1023" s="217" t="s">
        <v>674</v>
      </c>
      <c r="G1023" s="217" t="str">
        <f t="shared" ref="G1023:G1036" si="344">"Inv. Analysis - Credit Quality Risk - "&amp;C1023</f>
        <v xml:space="preserve">Inv. Analysis - Credit Quality Risk - Other                                                              </v>
      </c>
      <c r="H1023" s="218" t="e">
        <f t="shared" ref="H1023:N1036" si="345">+H$2</f>
        <v>#N/A</v>
      </c>
      <c r="I1023" s="218" t="str">
        <f t="shared" si="345"/>
        <v>Jun</v>
      </c>
      <c r="J1023" s="217" t="str">
        <f t="shared" si="345"/>
        <v>FY25</v>
      </c>
      <c r="K1023" s="217" t="str">
        <f t="shared" si="345"/>
        <v>FCCS_Other Data</v>
      </c>
      <c r="L1023" s="217" t="str">
        <f t="shared" si="345"/>
        <v>FCCS_No Intercompany</v>
      </c>
      <c r="M1023" s="217" t="str">
        <f t="shared" ref="M1023:M1036" si="346">+M$1</f>
        <v>No Custom1</v>
      </c>
      <c r="N1023" s="217" t="str">
        <f t="shared" si="345"/>
        <v>No Custom2</v>
      </c>
      <c r="O1023" s="217" t="s">
        <v>433</v>
      </c>
      <c r="P1023" s="217" t="s">
        <v>881</v>
      </c>
      <c r="Q1023" s="217" t="str">
        <f t="shared" ref="Q1023:Q1036" si="347">Q$2</f>
        <v>FCCS_ClosingBalance_Input</v>
      </c>
      <c r="R1023" s="217" t="str">
        <f t="shared" ref="R1023:S1036" si="348">+R$2</f>
        <v>Actual</v>
      </c>
      <c r="S1023" s="217" t="str">
        <f t="shared" si="348"/>
        <v>FCCS_YTD_Input</v>
      </c>
      <c r="T1023" s="217" t="s">
        <v>850</v>
      </c>
    </row>
    <row r="1024" spans="2:20" x14ac:dyDescent="0.3">
      <c r="B1024" s="214" t="s">
        <v>667</v>
      </c>
      <c r="C1024" s="214" t="s">
        <v>872</v>
      </c>
      <c r="D1024" s="216" t="str">
        <f>[2]!HsSetValue(E1024,"FCC","Scenario#"&amp;R1024&amp;";Years#"&amp;J1024&amp;";Period#"&amp;I1024&amp;";View#"&amp;S1024&amp;";Entity#"&amp;H1024&amp;";Data Source#"&amp;K1024&amp;";Account#"&amp;F1024&amp;";Intercompany#"&amp;L1024&amp;";Movement#"&amp;Q1024&amp;";Consolidation#"&amp;T1024&amp;";Custom1#"&amp;M1024&amp;";Custom2#"&amp;N1024&amp;";Custom3#"&amp;O1024&amp;";Custom4#"&amp;P1024&amp;"")</f>
        <v>#Invalid Syntax</v>
      </c>
      <c r="E1024" s="216">
        <f>SUMIFS('Investment Analysis'!$H$22:$H$69,'Investment Analysis'!$E$22:$E$69,"Other",'Investment Analysis'!$AB$22:$AB$69,"9")</f>
        <v>0</v>
      </c>
      <c r="F1024" s="217" t="s">
        <v>674</v>
      </c>
      <c r="G1024" s="217" t="str">
        <f t="shared" si="344"/>
        <v xml:space="preserve">Inv. Analysis - Credit Quality Risk - Other                                                              </v>
      </c>
      <c r="H1024" s="218" t="e">
        <f t="shared" si="345"/>
        <v>#N/A</v>
      </c>
      <c r="I1024" s="218" t="str">
        <f t="shared" si="345"/>
        <v>Jun</v>
      </c>
      <c r="J1024" s="217" t="str">
        <f t="shared" si="345"/>
        <v>FY25</v>
      </c>
      <c r="K1024" s="217" t="str">
        <f t="shared" si="345"/>
        <v>FCCS_Other Data</v>
      </c>
      <c r="L1024" s="217" t="str">
        <f t="shared" si="345"/>
        <v>FCCS_No Intercompany</v>
      </c>
      <c r="M1024" s="217" t="str">
        <f t="shared" si="346"/>
        <v>No Custom1</v>
      </c>
      <c r="N1024" s="217" t="str">
        <f t="shared" si="345"/>
        <v>No Custom2</v>
      </c>
      <c r="O1024" s="217" t="s">
        <v>596</v>
      </c>
      <c r="P1024" s="217" t="s">
        <v>881</v>
      </c>
      <c r="Q1024" s="217" t="str">
        <f t="shared" si="347"/>
        <v>FCCS_ClosingBalance_Input</v>
      </c>
      <c r="R1024" s="217" t="str">
        <f t="shared" si="348"/>
        <v>Actual</v>
      </c>
      <c r="S1024" s="217" t="str">
        <f t="shared" si="348"/>
        <v>FCCS_YTD_Input</v>
      </c>
      <c r="T1024" s="217" t="s">
        <v>850</v>
      </c>
    </row>
    <row r="1025" spans="2:20" x14ac:dyDescent="0.3">
      <c r="B1025" s="214" t="s">
        <v>667</v>
      </c>
      <c r="C1025" s="214" t="s">
        <v>872</v>
      </c>
      <c r="D1025" s="216" t="str">
        <f>[2]!HsSetValue(E1025,"FCC","Scenario#"&amp;R1025&amp;";Years#"&amp;J1025&amp;";Period#"&amp;I1025&amp;";View#"&amp;S1025&amp;";Entity#"&amp;H1025&amp;";Data Source#"&amp;K1025&amp;";Account#"&amp;F1025&amp;";Intercompany#"&amp;L1025&amp;";Movement#"&amp;Q1025&amp;";Consolidation#"&amp;T1025&amp;";Custom1#"&amp;M1025&amp;";Custom2#"&amp;N1025&amp;";Custom3#"&amp;O1025&amp;";Custom4#"&amp;P1025&amp;"")</f>
        <v>#Invalid Syntax</v>
      </c>
      <c r="E1025" s="216">
        <f>SUMIFS('Investment Analysis'!$H$22:$H$69,'Investment Analysis'!$E$22:$E$69,"Other",'Investment Analysis'!$AB$22:$AB$69,"8")</f>
        <v>0</v>
      </c>
      <c r="F1025" s="217" t="s">
        <v>674</v>
      </c>
      <c r="G1025" s="217" t="str">
        <f t="shared" si="344"/>
        <v xml:space="preserve">Inv. Analysis - Credit Quality Risk - Other                                                              </v>
      </c>
      <c r="H1025" s="218" t="e">
        <f t="shared" si="345"/>
        <v>#N/A</v>
      </c>
      <c r="I1025" s="218" t="str">
        <f t="shared" si="345"/>
        <v>Jun</v>
      </c>
      <c r="J1025" s="217" t="str">
        <f t="shared" si="345"/>
        <v>FY25</v>
      </c>
      <c r="K1025" s="217" t="str">
        <f t="shared" si="345"/>
        <v>FCCS_Other Data</v>
      </c>
      <c r="L1025" s="217" t="str">
        <f t="shared" si="345"/>
        <v>FCCS_No Intercompany</v>
      </c>
      <c r="M1025" s="217" t="str">
        <f t="shared" si="346"/>
        <v>No Custom1</v>
      </c>
      <c r="N1025" s="217" t="str">
        <f t="shared" si="345"/>
        <v>No Custom2</v>
      </c>
      <c r="O1025" s="217" t="s">
        <v>61</v>
      </c>
      <c r="P1025" s="217" t="s">
        <v>881</v>
      </c>
      <c r="Q1025" s="217" t="str">
        <f t="shared" si="347"/>
        <v>FCCS_ClosingBalance_Input</v>
      </c>
      <c r="R1025" s="217" t="str">
        <f t="shared" si="348"/>
        <v>Actual</v>
      </c>
      <c r="S1025" s="217" t="str">
        <f t="shared" si="348"/>
        <v>FCCS_YTD_Input</v>
      </c>
      <c r="T1025" s="217" t="s">
        <v>850</v>
      </c>
    </row>
    <row r="1026" spans="2:20" x14ac:dyDescent="0.3">
      <c r="B1026" s="214" t="s">
        <v>667</v>
      </c>
      <c r="C1026" s="214" t="s">
        <v>872</v>
      </c>
      <c r="D1026" s="216" t="str">
        <f>[2]!HsSetValue(E1026,"FCC","Scenario#"&amp;R1026&amp;";Years#"&amp;J1026&amp;";Period#"&amp;I1026&amp;";View#"&amp;S1026&amp;";Entity#"&amp;H1026&amp;";Data Source#"&amp;K1026&amp;";Account#"&amp;F1026&amp;";Intercompany#"&amp;L1026&amp;";Movement#"&amp;Q1026&amp;";Consolidation#"&amp;T1026&amp;";Custom1#"&amp;M1026&amp;";Custom2#"&amp;N1026&amp;";Custom3#"&amp;O1026&amp;";Custom4#"&amp;P1026&amp;"")</f>
        <v>#Invalid Syntax</v>
      </c>
      <c r="E1026" s="216">
        <f>SUMIFS('Investment Analysis'!$H$22:$H$69,'Investment Analysis'!$E$22:$E$69,"Other",'Investment Analysis'!$AB$22:$AB$69,"7")</f>
        <v>0</v>
      </c>
      <c r="F1026" s="217" t="s">
        <v>674</v>
      </c>
      <c r="G1026" s="217" t="str">
        <f t="shared" si="344"/>
        <v xml:space="preserve">Inv. Analysis - Credit Quality Risk - Other                                                              </v>
      </c>
      <c r="H1026" s="218" t="e">
        <f t="shared" si="345"/>
        <v>#N/A</v>
      </c>
      <c r="I1026" s="218" t="str">
        <f t="shared" si="345"/>
        <v>Jun</v>
      </c>
      <c r="J1026" s="217" t="str">
        <f t="shared" si="345"/>
        <v>FY25</v>
      </c>
      <c r="K1026" s="217" t="str">
        <f t="shared" si="345"/>
        <v>FCCS_Other Data</v>
      </c>
      <c r="L1026" s="217" t="str">
        <f t="shared" si="345"/>
        <v>FCCS_No Intercompany</v>
      </c>
      <c r="M1026" s="217" t="str">
        <f t="shared" si="346"/>
        <v>No Custom1</v>
      </c>
      <c r="N1026" s="217" t="str">
        <f t="shared" si="345"/>
        <v>No Custom2</v>
      </c>
      <c r="O1026" s="217" t="s">
        <v>62</v>
      </c>
      <c r="P1026" s="217" t="s">
        <v>881</v>
      </c>
      <c r="Q1026" s="217" t="str">
        <f t="shared" si="347"/>
        <v>FCCS_ClosingBalance_Input</v>
      </c>
      <c r="R1026" s="217" t="str">
        <f t="shared" si="348"/>
        <v>Actual</v>
      </c>
      <c r="S1026" s="217" t="str">
        <f t="shared" si="348"/>
        <v>FCCS_YTD_Input</v>
      </c>
      <c r="T1026" s="217" t="s">
        <v>850</v>
      </c>
    </row>
    <row r="1027" spans="2:20" x14ac:dyDescent="0.3">
      <c r="B1027" s="214" t="s">
        <v>667</v>
      </c>
      <c r="C1027" s="214" t="s">
        <v>872</v>
      </c>
      <c r="D1027" s="216" t="str">
        <f>[2]!HsSetValue(E1027,"FCC","Scenario#"&amp;R1027&amp;";Years#"&amp;J1027&amp;";Period#"&amp;I1027&amp;";View#"&amp;S1027&amp;";Entity#"&amp;H1027&amp;";Data Source#"&amp;K1027&amp;";Account#"&amp;F1027&amp;";Intercompany#"&amp;L1027&amp;";Movement#"&amp;Q1027&amp;";Consolidation#"&amp;T1027&amp;";Custom1#"&amp;M1027&amp;";Custom2#"&amp;N1027&amp;";Custom3#"&amp;O1027&amp;";Custom4#"&amp;P1027&amp;"")</f>
        <v>#Invalid Syntax</v>
      </c>
      <c r="E1027" s="216">
        <f>SUMIFS('Investment Analysis'!$H$22:$H$69,'Investment Analysis'!$E$22:$E$69,"Other",'Investment Analysis'!$AB$22:$AB$69,"6")</f>
        <v>0</v>
      </c>
      <c r="F1027" s="217" t="s">
        <v>674</v>
      </c>
      <c r="G1027" s="217" t="str">
        <f t="shared" si="344"/>
        <v xml:space="preserve">Inv. Analysis - Credit Quality Risk - Other                                                              </v>
      </c>
      <c r="H1027" s="218" t="e">
        <f t="shared" si="345"/>
        <v>#N/A</v>
      </c>
      <c r="I1027" s="218" t="str">
        <f t="shared" si="345"/>
        <v>Jun</v>
      </c>
      <c r="J1027" s="217" t="str">
        <f t="shared" si="345"/>
        <v>FY25</v>
      </c>
      <c r="K1027" s="217" t="str">
        <f t="shared" si="345"/>
        <v>FCCS_Other Data</v>
      </c>
      <c r="L1027" s="217" t="str">
        <f t="shared" si="345"/>
        <v>FCCS_No Intercompany</v>
      </c>
      <c r="M1027" s="217" t="str">
        <f t="shared" si="346"/>
        <v>No Custom1</v>
      </c>
      <c r="N1027" s="217" t="str">
        <f t="shared" si="345"/>
        <v>No Custom2</v>
      </c>
      <c r="O1027" s="217" t="s">
        <v>436</v>
      </c>
      <c r="P1027" s="217" t="s">
        <v>881</v>
      </c>
      <c r="Q1027" s="217" t="str">
        <f t="shared" si="347"/>
        <v>FCCS_ClosingBalance_Input</v>
      </c>
      <c r="R1027" s="217" t="str">
        <f t="shared" si="348"/>
        <v>Actual</v>
      </c>
      <c r="S1027" s="217" t="str">
        <f t="shared" si="348"/>
        <v>FCCS_YTD_Input</v>
      </c>
      <c r="T1027" s="217" t="s">
        <v>850</v>
      </c>
    </row>
    <row r="1028" spans="2:20" s="371" customFormat="1" x14ac:dyDescent="0.3">
      <c r="B1028" s="214" t="s">
        <v>667</v>
      </c>
      <c r="C1028" s="214" t="s">
        <v>872</v>
      </c>
      <c r="D1028" s="216" t="str">
        <f>[2]!HsSetValue(E1028,"FCC","Scenario#"&amp;R1028&amp;";Years#"&amp;J1028&amp;";Period#"&amp;I1028&amp;";View#"&amp;S1028&amp;";Entity#"&amp;H1028&amp;";Data Source#"&amp;K1028&amp;";Account#"&amp;F1028&amp;";Intercompany#"&amp;L1028&amp;";Movement#"&amp;Q1028&amp;";Consolidation#"&amp;T1028&amp;";Custom1#"&amp;M1028&amp;";Custom2#"&amp;N1028&amp;";Custom3#"&amp;O1028&amp;";Custom4#"&amp;P1028&amp;"")</f>
        <v>#Invalid Syntax</v>
      </c>
      <c r="E1028" s="216">
        <f>SUMIFS('Investment Analysis'!$H$22:$H$69,'Investment Analysis'!$E$22:$E$69,"Other",'Investment Analysis'!$AB$22:$AB$69,"5")</f>
        <v>0</v>
      </c>
      <c r="F1028" s="217" t="s">
        <v>674</v>
      </c>
      <c r="G1028" s="217" t="str">
        <f t="shared" si="344"/>
        <v xml:space="preserve">Inv. Analysis - Credit Quality Risk - Other                                                              </v>
      </c>
      <c r="H1028" s="218" t="e">
        <f t="shared" si="345"/>
        <v>#N/A</v>
      </c>
      <c r="I1028" s="218" t="str">
        <f t="shared" si="345"/>
        <v>Jun</v>
      </c>
      <c r="J1028" s="217" t="str">
        <f t="shared" si="345"/>
        <v>FY25</v>
      </c>
      <c r="K1028" s="217" t="str">
        <f t="shared" si="345"/>
        <v>FCCS_Other Data</v>
      </c>
      <c r="L1028" s="217" t="str">
        <f t="shared" si="345"/>
        <v>FCCS_No Intercompany</v>
      </c>
      <c r="M1028" s="217" t="str">
        <f t="shared" si="346"/>
        <v>No Custom1</v>
      </c>
      <c r="N1028" s="217" t="str">
        <f t="shared" si="345"/>
        <v>No Custom2</v>
      </c>
      <c r="O1028" s="217" t="s">
        <v>434</v>
      </c>
      <c r="P1028" s="217" t="s">
        <v>881</v>
      </c>
      <c r="Q1028" s="217" t="str">
        <f t="shared" si="347"/>
        <v>FCCS_ClosingBalance_Input</v>
      </c>
      <c r="R1028" s="217" t="str">
        <f t="shared" si="348"/>
        <v>Actual</v>
      </c>
      <c r="S1028" s="217" t="str">
        <f t="shared" si="348"/>
        <v>FCCS_YTD_Input</v>
      </c>
      <c r="T1028" s="217" t="s">
        <v>850</v>
      </c>
    </row>
    <row r="1029" spans="2:20" s="371" customFormat="1" x14ac:dyDescent="0.3">
      <c r="B1029" s="214" t="s">
        <v>667</v>
      </c>
      <c r="C1029" s="214" t="s">
        <v>872</v>
      </c>
      <c r="D1029" s="216" t="str">
        <f>[2]!HsSetValue(E1029,"FCC","Scenario#"&amp;R1029&amp;";Years#"&amp;J1029&amp;";Period#"&amp;I1029&amp;";View#"&amp;S1029&amp;";Entity#"&amp;H1029&amp;";Data Source#"&amp;K1029&amp;";Account#"&amp;F1029&amp;";Intercompany#"&amp;L1029&amp;";Movement#"&amp;Q1029&amp;";Consolidation#"&amp;T1029&amp;";Custom1#"&amp;M1029&amp;";Custom2#"&amp;N1029&amp;";Custom3#"&amp;O1029&amp;";Custom4#"&amp;P1029&amp;"")</f>
        <v>#Invalid Syntax</v>
      </c>
      <c r="E1029" s="216">
        <f>SUMIFS('Investment Analysis'!$H$22:$H$69,'Investment Analysis'!$E$22:$E$69,"Other",'Investment Analysis'!$AB$22:$AB$69,"4")</f>
        <v>0</v>
      </c>
      <c r="F1029" s="217" t="s">
        <v>674</v>
      </c>
      <c r="G1029" s="217" t="str">
        <f t="shared" si="344"/>
        <v xml:space="preserve">Inv. Analysis - Credit Quality Risk - Other                                                              </v>
      </c>
      <c r="H1029" s="218" t="e">
        <f t="shared" si="345"/>
        <v>#N/A</v>
      </c>
      <c r="I1029" s="218" t="str">
        <f t="shared" si="345"/>
        <v>Jun</v>
      </c>
      <c r="J1029" s="217" t="str">
        <f t="shared" si="345"/>
        <v>FY25</v>
      </c>
      <c r="K1029" s="217" t="str">
        <f t="shared" si="345"/>
        <v>FCCS_Other Data</v>
      </c>
      <c r="L1029" s="217" t="str">
        <f t="shared" si="345"/>
        <v>FCCS_No Intercompany</v>
      </c>
      <c r="M1029" s="217" t="str">
        <f t="shared" si="346"/>
        <v>No Custom1</v>
      </c>
      <c r="N1029" s="217" t="str">
        <f t="shared" si="345"/>
        <v>No Custom2</v>
      </c>
      <c r="O1029" s="217" t="s">
        <v>63</v>
      </c>
      <c r="P1029" s="217" t="s">
        <v>881</v>
      </c>
      <c r="Q1029" s="217" t="str">
        <f t="shared" si="347"/>
        <v>FCCS_ClosingBalance_Input</v>
      </c>
      <c r="R1029" s="217" t="str">
        <f t="shared" si="348"/>
        <v>Actual</v>
      </c>
      <c r="S1029" s="217" t="str">
        <f t="shared" si="348"/>
        <v>FCCS_YTD_Input</v>
      </c>
      <c r="T1029" s="217" t="s">
        <v>850</v>
      </c>
    </row>
    <row r="1030" spans="2:20" s="371" customFormat="1" x14ac:dyDescent="0.3">
      <c r="B1030" s="214" t="s">
        <v>667</v>
      </c>
      <c r="C1030" s="214" t="s">
        <v>872</v>
      </c>
      <c r="D1030" s="216" t="str">
        <f>[2]!HsSetValue(E1030,"FCC","Scenario#"&amp;R1030&amp;";Years#"&amp;J1030&amp;";Period#"&amp;I1030&amp;";View#"&amp;S1030&amp;";Entity#"&amp;H1030&amp;";Data Source#"&amp;K1030&amp;";Account#"&amp;F1030&amp;";Intercompany#"&amp;L1030&amp;";Movement#"&amp;Q1030&amp;";Consolidation#"&amp;T1030&amp;";Custom1#"&amp;M1030&amp;";Custom2#"&amp;N1030&amp;";Custom3#"&amp;O1030&amp;";Custom4#"&amp;P1030&amp;"")</f>
        <v>#Invalid Syntax</v>
      </c>
      <c r="E1030" s="216">
        <f>SUMIFS('Investment Analysis'!$H$22:$H$69,'Investment Analysis'!$E$22:$E$69,"Other",'Investment Analysis'!$AB$22:$AB$69,"3")</f>
        <v>0</v>
      </c>
      <c r="F1030" s="217" t="s">
        <v>674</v>
      </c>
      <c r="G1030" s="217" t="str">
        <f t="shared" si="344"/>
        <v xml:space="preserve">Inv. Analysis - Credit Quality Risk - Other                                                              </v>
      </c>
      <c r="H1030" s="218" t="e">
        <f t="shared" si="345"/>
        <v>#N/A</v>
      </c>
      <c r="I1030" s="218" t="str">
        <f t="shared" si="345"/>
        <v>Jun</v>
      </c>
      <c r="J1030" s="217" t="str">
        <f t="shared" si="345"/>
        <v>FY25</v>
      </c>
      <c r="K1030" s="217" t="str">
        <f t="shared" si="345"/>
        <v>FCCS_Other Data</v>
      </c>
      <c r="L1030" s="217" t="str">
        <f t="shared" si="345"/>
        <v>FCCS_No Intercompany</v>
      </c>
      <c r="M1030" s="217" t="str">
        <f t="shared" si="346"/>
        <v>No Custom1</v>
      </c>
      <c r="N1030" s="217" t="str">
        <f t="shared" si="345"/>
        <v>No Custom2</v>
      </c>
      <c r="O1030" s="217" t="s">
        <v>622</v>
      </c>
      <c r="P1030" s="217" t="s">
        <v>881</v>
      </c>
      <c r="Q1030" s="217" t="str">
        <f t="shared" si="347"/>
        <v>FCCS_ClosingBalance_Input</v>
      </c>
      <c r="R1030" s="217" t="str">
        <f t="shared" si="348"/>
        <v>Actual</v>
      </c>
      <c r="S1030" s="217" t="str">
        <f t="shared" si="348"/>
        <v>FCCS_YTD_Input</v>
      </c>
      <c r="T1030" s="217" t="s">
        <v>850</v>
      </c>
    </row>
    <row r="1031" spans="2:20" s="371" customFormat="1" x14ac:dyDescent="0.3">
      <c r="B1031" s="214" t="s">
        <v>667</v>
      </c>
      <c r="C1031" s="214" t="s">
        <v>872</v>
      </c>
      <c r="D1031" s="216" t="str">
        <f>[2]!HsSetValue(E1031,"FCC","Scenario#"&amp;R1031&amp;";Years#"&amp;J1031&amp;";Period#"&amp;I1031&amp;";View#"&amp;S1031&amp;";Entity#"&amp;H1031&amp;";Data Source#"&amp;K1031&amp;";Account#"&amp;F1031&amp;";Intercompany#"&amp;L1031&amp;";Movement#"&amp;Q1031&amp;";Consolidation#"&amp;T1031&amp;";Custom1#"&amp;M1031&amp;";Custom2#"&amp;N1031&amp;";Custom3#"&amp;O1031&amp;";Custom4#"&amp;P1031&amp;"")</f>
        <v>#Invalid Syntax</v>
      </c>
      <c r="E1031" s="216">
        <f>SUMIFS('Investment Analysis'!$H$22:$H$69,'Investment Analysis'!$E$22:$E$69,"Other",'Investment Analysis'!$AB$22:$AB$69,"2")</f>
        <v>0</v>
      </c>
      <c r="F1031" s="217" t="s">
        <v>674</v>
      </c>
      <c r="G1031" s="217" t="str">
        <f t="shared" si="344"/>
        <v xml:space="preserve">Inv. Analysis - Credit Quality Risk - Other                                                              </v>
      </c>
      <c r="H1031" s="218" t="e">
        <f t="shared" si="345"/>
        <v>#N/A</v>
      </c>
      <c r="I1031" s="218" t="str">
        <f t="shared" si="345"/>
        <v>Jun</v>
      </c>
      <c r="J1031" s="217" t="str">
        <f t="shared" si="345"/>
        <v>FY25</v>
      </c>
      <c r="K1031" s="217" t="str">
        <f t="shared" si="345"/>
        <v>FCCS_Other Data</v>
      </c>
      <c r="L1031" s="217" t="str">
        <f t="shared" si="345"/>
        <v>FCCS_No Intercompany</v>
      </c>
      <c r="M1031" s="217" t="str">
        <f t="shared" si="346"/>
        <v>No Custom1</v>
      </c>
      <c r="N1031" s="217" t="str">
        <f t="shared" si="345"/>
        <v>No Custom2</v>
      </c>
      <c r="O1031" s="217" t="s">
        <v>618</v>
      </c>
      <c r="P1031" s="217" t="s">
        <v>881</v>
      </c>
      <c r="Q1031" s="217" t="str">
        <f t="shared" si="347"/>
        <v>FCCS_ClosingBalance_Input</v>
      </c>
      <c r="R1031" s="217" t="str">
        <f t="shared" si="348"/>
        <v>Actual</v>
      </c>
      <c r="S1031" s="217" t="str">
        <f t="shared" si="348"/>
        <v>FCCS_YTD_Input</v>
      </c>
      <c r="T1031" s="217" t="s">
        <v>850</v>
      </c>
    </row>
    <row r="1032" spans="2:20" s="371" customFormat="1" x14ac:dyDescent="0.3">
      <c r="B1032" s="214" t="s">
        <v>667</v>
      </c>
      <c r="C1032" s="214" t="s">
        <v>872</v>
      </c>
      <c r="D1032" s="216" t="str">
        <f>[2]!HsSetValue(E1032,"FCC","Scenario#"&amp;R1032&amp;";Years#"&amp;J1032&amp;";Period#"&amp;I1032&amp;";View#"&amp;S1032&amp;";Entity#"&amp;H1032&amp;";Data Source#"&amp;K1032&amp;";Account#"&amp;F1032&amp;";Intercompany#"&amp;L1032&amp;";Movement#"&amp;Q1032&amp;";Consolidation#"&amp;T1032&amp;";Custom1#"&amp;M1032&amp;";Custom2#"&amp;N1032&amp;";Custom3#"&amp;O1032&amp;";Custom4#"&amp;P1032&amp;"")</f>
        <v>#Invalid Syntax</v>
      </c>
      <c r="E1032" s="216">
        <f>SUMIFS('Investment Analysis'!$H$22:$H$69,'Investment Analysis'!$E$22:$E$69,"Other",'Investment Analysis'!$AB$22:$AB$69,"1")</f>
        <v>0</v>
      </c>
      <c r="F1032" s="217" t="s">
        <v>674</v>
      </c>
      <c r="G1032" s="217" t="str">
        <f t="shared" si="344"/>
        <v xml:space="preserve">Inv. Analysis - Credit Quality Risk - Other                                                              </v>
      </c>
      <c r="H1032" s="218" t="e">
        <f t="shared" si="345"/>
        <v>#N/A</v>
      </c>
      <c r="I1032" s="218" t="str">
        <f t="shared" si="345"/>
        <v>Jun</v>
      </c>
      <c r="J1032" s="217" t="str">
        <f t="shared" si="345"/>
        <v>FY25</v>
      </c>
      <c r="K1032" s="217" t="str">
        <f t="shared" si="345"/>
        <v>FCCS_Other Data</v>
      </c>
      <c r="L1032" s="217" t="str">
        <f t="shared" si="345"/>
        <v>FCCS_No Intercompany</v>
      </c>
      <c r="M1032" s="217" t="str">
        <f t="shared" si="346"/>
        <v>No Custom1</v>
      </c>
      <c r="N1032" s="217" t="str">
        <f t="shared" si="345"/>
        <v>No Custom2</v>
      </c>
      <c r="O1032" s="217" t="s">
        <v>64</v>
      </c>
      <c r="P1032" s="217" t="s">
        <v>881</v>
      </c>
      <c r="Q1032" s="217" t="str">
        <f t="shared" si="347"/>
        <v>FCCS_ClosingBalance_Input</v>
      </c>
      <c r="R1032" s="217" t="str">
        <f t="shared" si="348"/>
        <v>Actual</v>
      </c>
      <c r="S1032" s="217" t="str">
        <f t="shared" si="348"/>
        <v>FCCS_YTD_Input</v>
      </c>
      <c r="T1032" s="217" t="s">
        <v>850</v>
      </c>
    </row>
    <row r="1033" spans="2:20" x14ac:dyDescent="0.3">
      <c r="B1033" s="214" t="s">
        <v>667</v>
      </c>
      <c r="C1033" s="214" t="s">
        <v>872</v>
      </c>
      <c r="D1033" s="216" t="str">
        <f>[2]!HsSetValue(E1033,"FCC","Scenario#"&amp;R1033&amp;";Years#"&amp;J1033&amp;";Period#"&amp;I1033&amp;";View#"&amp;S1033&amp;";Entity#"&amp;H1033&amp;";Data Source#"&amp;K1033&amp;";Account#"&amp;F1033&amp;";Intercompany#"&amp;L1033&amp;";Movement#"&amp;Q1033&amp;";Consolidation#"&amp;T1033&amp;";Custom1#"&amp;M1033&amp;";Custom2#"&amp;N1033&amp;";Custom3#"&amp;O1033&amp;";Custom4#"&amp;P1033&amp;"")</f>
        <v>#Invalid Syntax</v>
      </c>
      <c r="E1033" s="216">
        <f>SUMIFS('Investment Analysis'!$H$22:$H$69,'Investment Analysis'!$E$22:$E$69,"Other",'Investment Analysis'!$AI$22:$AI$69,"16")</f>
        <v>0</v>
      </c>
      <c r="F1033" s="217" t="s">
        <v>674</v>
      </c>
      <c r="G1033" s="217" t="str">
        <f t="shared" si="344"/>
        <v xml:space="preserve">Inv. Analysis - Credit Quality Risk - Other                                                              </v>
      </c>
      <c r="H1033" s="218" t="e">
        <f t="shared" si="345"/>
        <v>#N/A</v>
      </c>
      <c r="I1033" s="218" t="str">
        <f t="shared" si="345"/>
        <v>Jun</v>
      </c>
      <c r="J1033" s="217" t="str">
        <f t="shared" si="345"/>
        <v>FY25</v>
      </c>
      <c r="K1033" s="217" t="str">
        <f t="shared" si="345"/>
        <v>FCCS_Other Data</v>
      </c>
      <c r="L1033" s="217" t="str">
        <f t="shared" si="345"/>
        <v>FCCS_No Intercompany</v>
      </c>
      <c r="M1033" s="217" t="str">
        <f t="shared" si="346"/>
        <v>No Custom1</v>
      </c>
      <c r="N1033" s="217" t="str">
        <f t="shared" si="345"/>
        <v>No Custom2</v>
      </c>
      <c r="O1033" s="217" t="s">
        <v>726</v>
      </c>
      <c r="P1033" s="217" t="s">
        <v>881</v>
      </c>
      <c r="Q1033" s="217" t="str">
        <f t="shared" si="347"/>
        <v>FCCS_ClosingBalance_Input</v>
      </c>
      <c r="R1033" s="217" t="str">
        <f t="shared" si="348"/>
        <v>Actual</v>
      </c>
      <c r="S1033" s="217" t="str">
        <f t="shared" si="348"/>
        <v>FCCS_YTD_Input</v>
      </c>
      <c r="T1033" s="217" t="s">
        <v>850</v>
      </c>
    </row>
    <row r="1034" spans="2:20" x14ac:dyDescent="0.3">
      <c r="B1034" s="214" t="s">
        <v>667</v>
      </c>
      <c r="C1034" s="214" t="s">
        <v>872</v>
      </c>
      <c r="D1034" s="216" t="str">
        <f>[2]!HsSetValue(E1034,"FCC","Scenario#"&amp;R1034&amp;";Years#"&amp;J1034&amp;";Period#"&amp;I1034&amp;";View#"&amp;S1034&amp;";Entity#"&amp;H1034&amp;";Data Source#"&amp;K1034&amp;";Account#"&amp;F1034&amp;";Intercompany#"&amp;L1034&amp;";Movement#"&amp;Q1034&amp;";Consolidation#"&amp;T1034&amp;";Custom1#"&amp;M1034&amp;";Custom2#"&amp;N1034&amp;";Custom3#"&amp;O1034&amp;";Custom4#"&amp;P1034&amp;"")</f>
        <v>#Invalid Syntax</v>
      </c>
      <c r="E1034" s="216">
        <f>SUMIFS('Investment Analysis'!$H$22:$H$69,'Investment Analysis'!$E$22:$E$69,"Other",'Investment Analysis'!$AI$22:$AI$69,"15")</f>
        <v>0</v>
      </c>
      <c r="F1034" s="217" t="s">
        <v>674</v>
      </c>
      <c r="G1034" s="217" t="str">
        <f t="shared" si="344"/>
        <v xml:space="preserve">Inv. Analysis - Credit Quality Risk - Other                                                              </v>
      </c>
      <c r="H1034" s="218" t="e">
        <f t="shared" si="345"/>
        <v>#N/A</v>
      </c>
      <c r="I1034" s="218" t="str">
        <f t="shared" si="345"/>
        <v>Jun</v>
      </c>
      <c r="J1034" s="217" t="str">
        <f t="shared" si="345"/>
        <v>FY25</v>
      </c>
      <c r="K1034" s="217" t="str">
        <f t="shared" si="345"/>
        <v>FCCS_Other Data</v>
      </c>
      <c r="L1034" s="217" t="str">
        <f t="shared" si="345"/>
        <v>FCCS_No Intercompany</v>
      </c>
      <c r="M1034" s="217" t="str">
        <f t="shared" si="346"/>
        <v>No Custom1</v>
      </c>
      <c r="N1034" s="217" t="str">
        <f t="shared" si="345"/>
        <v>No Custom2</v>
      </c>
      <c r="O1034" s="217" t="s">
        <v>727</v>
      </c>
      <c r="P1034" s="217" t="s">
        <v>881</v>
      </c>
      <c r="Q1034" s="217" t="str">
        <f t="shared" si="347"/>
        <v>FCCS_ClosingBalance_Input</v>
      </c>
      <c r="R1034" s="217" t="str">
        <f t="shared" si="348"/>
        <v>Actual</v>
      </c>
      <c r="S1034" s="217" t="str">
        <f t="shared" si="348"/>
        <v>FCCS_YTD_Input</v>
      </c>
      <c r="T1034" s="217" t="s">
        <v>850</v>
      </c>
    </row>
    <row r="1035" spans="2:20" x14ac:dyDescent="0.3">
      <c r="B1035" s="214" t="s">
        <v>667</v>
      </c>
      <c r="C1035" s="214" t="s">
        <v>872</v>
      </c>
      <c r="D1035" s="216" t="str">
        <f>[2]!HsSetValue(E1035,"FCC","Scenario#"&amp;R1035&amp;";Years#"&amp;J1035&amp;";Period#"&amp;I1035&amp;";View#"&amp;S1035&amp;";Entity#"&amp;H1035&amp;";Data Source#"&amp;K1035&amp;";Account#"&amp;F1035&amp;";Intercompany#"&amp;L1035&amp;";Movement#"&amp;Q1035&amp;";Consolidation#"&amp;T1035&amp;";Custom1#"&amp;M1035&amp;";Custom2#"&amp;N1035&amp;";Custom3#"&amp;O1035&amp;";Custom4#"&amp;P1035&amp;"")</f>
        <v>#Invalid Syntax</v>
      </c>
      <c r="E1035" s="216">
        <f>SUMIFS('Investment Analysis'!$H$22:$H$69,'Investment Analysis'!$E$22:$E$69,"Other",'Investment Analysis'!$AI$22:$AI$69,"14")</f>
        <v>0</v>
      </c>
      <c r="F1035" s="217" t="s">
        <v>674</v>
      </c>
      <c r="G1035" s="217" t="str">
        <f t="shared" si="344"/>
        <v xml:space="preserve">Inv. Analysis - Credit Quality Risk - Other                                                              </v>
      </c>
      <c r="H1035" s="218" t="e">
        <f t="shared" si="345"/>
        <v>#N/A</v>
      </c>
      <c r="I1035" s="218" t="str">
        <f t="shared" si="345"/>
        <v>Jun</v>
      </c>
      <c r="J1035" s="217" t="str">
        <f t="shared" si="345"/>
        <v>FY25</v>
      </c>
      <c r="K1035" s="217" t="str">
        <f t="shared" si="345"/>
        <v>FCCS_Other Data</v>
      </c>
      <c r="L1035" s="217" t="str">
        <f t="shared" si="345"/>
        <v>FCCS_No Intercompany</v>
      </c>
      <c r="M1035" s="217" t="str">
        <f t="shared" si="346"/>
        <v>No Custom1</v>
      </c>
      <c r="N1035" s="217" t="str">
        <f t="shared" si="345"/>
        <v>No Custom2</v>
      </c>
      <c r="O1035" s="217" t="s">
        <v>728</v>
      </c>
      <c r="P1035" s="217" t="s">
        <v>881</v>
      </c>
      <c r="Q1035" s="217" t="str">
        <f t="shared" si="347"/>
        <v>FCCS_ClosingBalance_Input</v>
      </c>
      <c r="R1035" s="217" t="str">
        <f t="shared" si="348"/>
        <v>Actual</v>
      </c>
      <c r="S1035" s="217" t="str">
        <f t="shared" si="348"/>
        <v>FCCS_YTD_Input</v>
      </c>
      <c r="T1035" s="217" t="s">
        <v>850</v>
      </c>
    </row>
    <row r="1036" spans="2:20" x14ac:dyDescent="0.3">
      <c r="B1036" s="214" t="s">
        <v>667</v>
      </c>
      <c r="C1036" s="214" t="s">
        <v>872</v>
      </c>
      <c r="D1036" s="216" t="str">
        <f>[2]!HsSetValue(E1036,"FCC","Scenario#"&amp;R1036&amp;";Years#"&amp;J1036&amp;";Period#"&amp;I1036&amp;";View#"&amp;S1036&amp;";Entity#"&amp;H1036&amp;";Data Source#"&amp;K1036&amp;";Account#"&amp;F1036&amp;";Intercompany#"&amp;L1036&amp;";Movement#"&amp;Q1036&amp;";Consolidation#"&amp;T1036&amp;";Custom1#"&amp;M1036&amp;";Custom2#"&amp;N1036&amp;";Custom3#"&amp;O1036&amp;";Custom4#"&amp;P1036&amp;"")</f>
        <v>#Invalid Syntax</v>
      </c>
      <c r="E1036" s="216">
        <f>SUMIFS('Investment Analysis'!$H$22:$H$69,'Investment Analysis'!$E$22:$E$69,"Other",'Investment Analysis'!$AB$22:$AB$69,"0")+SUMIFS('Investment Analysis'!$H$22:$H$69,'Investment Analysis'!$E$22:$E$69,"Other",'Investment Analysis'!$AI$22:$AI$69,"0")</f>
        <v>0</v>
      </c>
      <c r="F1036" s="217" t="s">
        <v>674</v>
      </c>
      <c r="G1036" s="217" t="str">
        <f t="shared" si="344"/>
        <v xml:space="preserve">Inv. Analysis - Credit Quality Risk - Other                                                              </v>
      </c>
      <c r="H1036" s="218" t="e">
        <f t="shared" si="345"/>
        <v>#N/A</v>
      </c>
      <c r="I1036" s="218" t="str">
        <f t="shared" si="345"/>
        <v>Jun</v>
      </c>
      <c r="J1036" s="217" t="str">
        <f t="shared" si="345"/>
        <v>FY25</v>
      </c>
      <c r="K1036" s="217" t="str">
        <f t="shared" si="345"/>
        <v>FCCS_Other Data</v>
      </c>
      <c r="L1036" s="217" t="str">
        <f t="shared" si="345"/>
        <v>FCCS_No Intercompany</v>
      </c>
      <c r="M1036" s="217" t="str">
        <f t="shared" si="346"/>
        <v>No Custom1</v>
      </c>
      <c r="N1036" s="217" t="str">
        <f t="shared" si="345"/>
        <v>No Custom2</v>
      </c>
      <c r="O1036" s="217" t="s">
        <v>609</v>
      </c>
      <c r="P1036" s="217" t="s">
        <v>881</v>
      </c>
      <c r="Q1036" s="217" t="str">
        <f t="shared" si="347"/>
        <v>FCCS_ClosingBalance_Input</v>
      </c>
      <c r="R1036" s="217" t="str">
        <f t="shared" si="348"/>
        <v>Actual</v>
      </c>
      <c r="S1036" s="217" t="str">
        <f t="shared" si="348"/>
        <v>FCCS_YTD_Input</v>
      </c>
      <c r="T1036" s="217" t="s">
        <v>850</v>
      </c>
    </row>
    <row r="1037" spans="2:20" x14ac:dyDescent="0.3">
      <c r="B1037" s="210"/>
      <c r="C1037" s="210"/>
      <c r="D1037" s="212"/>
      <c r="E1037" s="212"/>
    </row>
    <row r="1038" spans="2:20" x14ac:dyDescent="0.3">
      <c r="B1038" s="219" t="s">
        <v>1014</v>
      </c>
      <c r="C1038" s="219" t="s">
        <v>872</v>
      </c>
      <c r="D1038" s="221" t="str">
        <f>[2]!HsSetValue(E1038,"FCC","Scenario#"&amp;R1038&amp;";Years#"&amp;J1038&amp;";Period#"&amp;I1038&amp;";View#"&amp;S1038&amp;";Entity#"&amp;H1038&amp;";Data Source#"&amp;K1038&amp;";Account#"&amp;F1038&amp;";Intercompany#"&amp;L1038&amp;";Movement#"&amp;Q1038&amp;";Consolidation#"&amp;T1038&amp;";Custom1#"&amp;M1038&amp;";Custom2#"&amp;N1038&amp;";Custom3#"&amp;O1038&amp;";Custom4#"&amp;P1038&amp;"")</f>
        <v>#Invalid Syntax</v>
      </c>
      <c r="E1038" s="221">
        <f>SUMIFS('Investment Analysis'!$H$22:$H$69,'Investment Analysis'!$E$22:$E$69,"Other",'Investment Analysis'!$AK$22:$AK$69,"21")</f>
        <v>0</v>
      </c>
      <c r="F1038" s="222" t="s">
        <v>675</v>
      </c>
      <c r="G1038" s="222" t="str">
        <f>"Inv. Analysis -  FV Measurement - "&amp;C1038</f>
        <v xml:space="preserve">Inv. Analysis -  FV Measurement - Other                                                              </v>
      </c>
      <c r="H1038" s="223" t="e">
        <f>+H$2</f>
        <v>#N/A</v>
      </c>
      <c r="I1038" s="223" t="str">
        <f t="shared" ref="I1038:I1042" si="349">+I$2</f>
        <v>Jun</v>
      </c>
      <c r="J1038" s="222" t="str">
        <f>+J$2</f>
        <v>FY25</v>
      </c>
      <c r="K1038" s="222" t="s">
        <v>843</v>
      </c>
      <c r="L1038" s="222" t="s">
        <v>844</v>
      </c>
      <c r="M1038" s="222" t="s">
        <v>845</v>
      </c>
      <c r="N1038" s="222" t="s">
        <v>846</v>
      </c>
      <c r="O1038" s="222" t="s">
        <v>729</v>
      </c>
      <c r="P1038" s="222" t="s">
        <v>881</v>
      </c>
      <c r="Q1038" s="222" t="str">
        <f t="shared" ref="Q1038:Q1042" si="350">Q$2</f>
        <v>FCCS_ClosingBalance_Input</v>
      </c>
      <c r="R1038" s="222" t="s">
        <v>169</v>
      </c>
      <c r="S1038" s="222" t="s">
        <v>848</v>
      </c>
      <c r="T1038" s="222" t="s">
        <v>850</v>
      </c>
    </row>
    <row r="1039" spans="2:20" x14ac:dyDescent="0.3">
      <c r="B1039" s="219" t="s">
        <v>1014</v>
      </c>
      <c r="C1039" s="219" t="s">
        <v>872</v>
      </c>
      <c r="D1039" s="221" t="str">
        <f>[2]!HsSetValue(E1039,"FCC","Scenario#"&amp;R1039&amp;";Years#"&amp;J1039&amp;";Period#"&amp;I1039&amp;";View#"&amp;S1039&amp;";Entity#"&amp;H1039&amp;";Data Source#"&amp;K1039&amp;";Account#"&amp;F1039&amp;";Intercompany#"&amp;L1039&amp;";Movement#"&amp;Q1039&amp;";Consolidation#"&amp;T1039&amp;";Custom1#"&amp;M1039&amp;";Custom2#"&amp;N1039&amp;";Custom3#"&amp;O1039&amp;";Custom4#"&amp;P1039&amp;"")</f>
        <v>#Invalid Syntax</v>
      </c>
      <c r="E1039" s="221">
        <f>SUMIFS('Investment Analysis'!$H$22:$H$69,'Investment Analysis'!$E$22:$E$69,"Other",'Investment Analysis'!$AK$22:$AK$69,"22")</f>
        <v>0</v>
      </c>
      <c r="F1039" s="222" t="s">
        <v>675</v>
      </c>
      <c r="G1039" s="222" t="str">
        <f>"Inv. Analysis -  FV Measurement - "&amp;C1039</f>
        <v xml:space="preserve">Inv. Analysis -  FV Measurement - Other                                                              </v>
      </c>
      <c r="H1039" s="223" t="e">
        <f>+H$2</f>
        <v>#N/A</v>
      </c>
      <c r="I1039" s="223" t="str">
        <f t="shared" si="349"/>
        <v>Jun</v>
      </c>
      <c r="J1039" s="222" t="str">
        <f>+J$2</f>
        <v>FY25</v>
      </c>
      <c r="K1039" s="222" t="str">
        <f t="shared" ref="K1039:N1042" si="351">+K$2</f>
        <v>FCCS_Other Data</v>
      </c>
      <c r="L1039" s="222" t="str">
        <f t="shared" si="351"/>
        <v>FCCS_No Intercompany</v>
      </c>
      <c r="M1039" s="222" t="str">
        <f>+M$1</f>
        <v>No Custom1</v>
      </c>
      <c r="N1039" s="222" t="str">
        <f t="shared" si="351"/>
        <v>No Custom2</v>
      </c>
      <c r="O1039" s="222" t="s">
        <v>730</v>
      </c>
      <c r="P1039" s="222" t="s">
        <v>881</v>
      </c>
      <c r="Q1039" s="222" t="str">
        <f t="shared" si="350"/>
        <v>FCCS_ClosingBalance_Input</v>
      </c>
      <c r="R1039" s="222" t="str">
        <f t="shared" ref="R1039:S1042" si="352">+R$2</f>
        <v>Actual</v>
      </c>
      <c r="S1039" s="222" t="str">
        <f t="shared" si="352"/>
        <v>FCCS_YTD_Input</v>
      </c>
      <c r="T1039" s="222" t="s">
        <v>850</v>
      </c>
    </row>
    <row r="1040" spans="2:20" x14ac:dyDescent="0.3">
      <c r="B1040" s="219" t="s">
        <v>1014</v>
      </c>
      <c r="C1040" s="219" t="s">
        <v>872</v>
      </c>
      <c r="D1040" s="221" t="str">
        <f>[2]!HsSetValue(E1040,"FCC","Scenario#"&amp;R1040&amp;";Years#"&amp;J1040&amp;";Period#"&amp;I1040&amp;";View#"&amp;S1040&amp;";Entity#"&amp;H1040&amp;";Data Source#"&amp;K1040&amp;";Account#"&amp;F1040&amp;";Intercompany#"&amp;L1040&amp;";Movement#"&amp;Q1040&amp;";Consolidation#"&amp;T1040&amp;";Custom1#"&amp;M1040&amp;";Custom2#"&amp;N1040&amp;";Custom3#"&amp;O1040&amp;";Custom4#"&amp;P1040&amp;"")</f>
        <v>#Invalid Syntax</v>
      </c>
      <c r="E1040" s="221">
        <f>SUMIFS('Investment Analysis'!$H$22:$H$69,'Investment Analysis'!$E$22:$E$69,"Other",'Investment Analysis'!$AK$22:$AK$69,"23")</f>
        <v>0</v>
      </c>
      <c r="F1040" s="222" t="s">
        <v>675</v>
      </c>
      <c r="G1040" s="222" t="str">
        <f>"Inv. Analysis -  FV Measurement - "&amp;C1040</f>
        <v xml:space="preserve">Inv. Analysis -  FV Measurement - Other                                                              </v>
      </c>
      <c r="H1040" s="223" t="e">
        <f>+H$2</f>
        <v>#N/A</v>
      </c>
      <c r="I1040" s="223" t="str">
        <f t="shared" si="349"/>
        <v>Jun</v>
      </c>
      <c r="J1040" s="222" t="str">
        <f>+J$2</f>
        <v>FY25</v>
      </c>
      <c r="K1040" s="222" t="str">
        <f t="shared" si="351"/>
        <v>FCCS_Other Data</v>
      </c>
      <c r="L1040" s="222" t="str">
        <f t="shared" si="351"/>
        <v>FCCS_No Intercompany</v>
      </c>
      <c r="M1040" s="222" t="str">
        <f>+M$1</f>
        <v>No Custom1</v>
      </c>
      <c r="N1040" s="222" t="str">
        <f t="shared" si="351"/>
        <v>No Custom2</v>
      </c>
      <c r="O1040" s="222" t="s">
        <v>731</v>
      </c>
      <c r="P1040" s="222" t="s">
        <v>881</v>
      </c>
      <c r="Q1040" s="222" t="str">
        <f t="shared" si="350"/>
        <v>FCCS_ClosingBalance_Input</v>
      </c>
      <c r="R1040" s="222" t="str">
        <f t="shared" si="352"/>
        <v>Actual</v>
      </c>
      <c r="S1040" s="222" t="str">
        <f t="shared" si="352"/>
        <v>FCCS_YTD_Input</v>
      </c>
      <c r="T1040" s="222" t="s">
        <v>850</v>
      </c>
    </row>
    <row r="1041" spans="2:20" x14ac:dyDescent="0.3">
      <c r="B1041" s="219" t="s">
        <v>1014</v>
      </c>
      <c r="C1041" s="219" t="s">
        <v>872</v>
      </c>
      <c r="D1041" s="221" t="str">
        <f>[2]!HsSetValue(E1041,"FCC","Scenario#"&amp;R1041&amp;";Years#"&amp;J1041&amp;";Period#"&amp;I1041&amp;";View#"&amp;S1041&amp;";Entity#"&amp;H1041&amp;";Data Source#"&amp;K1041&amp;";Account#"&amp;F1041&amp;";Intercompany#"&amp;L1041&amp;";Movement#"&amp;Q1041&amp;";Consolidation#"&amp;T1041&amp;";Custom1#"&amp;M1041&amp;";Custom2#"&amp;N1041&amp;";Custom3#"&amp;O1041&amp;";Custom4#"&amp;P1041&amp;"")</f>
        <v>#Invalid Syntax</v>
      </c>
      <c r="E1041" s="221">
        <f>SUMIFS('Investment Analysis'!$H$22:$H$69,'Investment Analysis'!$E$22:$E$69,"Other",'Investment Analysis'!$AK$22:$AK$69,"24")</f>
        <v>0</v>
      </c>
      <c r="F1041" s="222" t="s">
        <v>675</v>
      </c>
      <c r="G1041" s="222" t="str">
        <f>"Inv. Analysis -  FV Measurement - "&amp;C1041</f>
        <v xml:space="preserve">Inv. Analysis -  FV Measurement - Other                                                              </v>
      </c>
      <c r="H1041" s="223" t="e">
        <f>+H$2</f>
        <v>#N/A</v>
      </c>
      <c r="I1041" s="223" t="str">
        <f t="shared" si="349"/>
        <v>Jun</v>
      </c>
      <c r="J1041" s="222" t="str">
        <f>+J$2</f>
        <v>FY25</v>
      </c>
      <c r="K1041" s="222" t="str">
        <f t="shared" si="351"/>
        <v>FCCS_Other Data</v>
      </c>
      <c r="L1041" s="222" t="str">
        <f t="shared" si="351"/>
        <v>FCCS_No Intercompany</v>
      </c>
      <c r="M1041" s="222" t="str">
        <f>+M$1</f>
        <v>No Custom1</v>
      </c>
      <c r="N1041" s="222" t="str">
        <f t="shared" si="351"/>
        <v>No Custom2</v>
      </c>
      <c r="O1041" s="222" t="s">
        <v>732</v>
      </c>
      <c r="P1041" s="222" t="s">
        <v>881</v>
      </c>
      <c r="Q1041" s="222" t="str">
        <f t="shared" si="350"/>
        <v>FCCS_ClosingBalance_Input</v>
      </c>
      <c r="R1041" s="222" t="str">
        <f t="shared" si="352"/>
        <v>Actual</v>
      </c>
      <c r="S1041" s="222" t="str">
        <f t="shared" si="352"/>
        <v>FCCS_YTD_Input</v>
      </c>
      <c r="T1041" s="222" t="s">
        <v>850</v>
      </c>
    </row>
    <row r="1042" spans="2:20" x14ac:dyDescent="0.3">
      <c r="B1042" s="219" t="s">
        <v>1014</v>
      </c>
      <c r="C1042" s="219" t="s">
        <v>872</v>
      </c>
      <c r="D1042" s="221" t="str">
        <f>[2]!HsSetValue(E1042,"FCC","Scenario#"&amp;R1042&amp;";Years#"&amp;J1042&amp;";Period#"&amp;I1042&amp;";View#"&amp;S1042&amp;";Entity#"&amp;H1042&amp;";Data Source#"&amp;K1042&amp;";Account#"&amp;F1042&amp;";Intercompany#"&amp;L1042&amp;";Movement#"&amp;Q1042&amp;";Consolidation#"&amp;T1042&amp;";Custom1#"&amp;M1042&amp;";Custom2#"&amp;N1042&amp;";Custom3#"&amp;O1042&amp;";Custom4#"&amp;P1042&amp;"")</f>
        <v>#Invalid Syntax</v>
      </c>
      <c r="E1042" s="221">
        <f>SUMIFS('Investment Analysis'!$H$22:$H$69,'Investment Analysis'!$E$22:$E$69,"Other",'Investment Analysis'!$AK$22:$AK$69,"25")</f>
        <v>0</v>
      </c>
      <c r="F1042" s="222" t="s">
        <v>675</v>
      </c>
      <c r="G1042" s="222" t="str">
        <f>"Inv. Analysis -  FV Measurement - "&amp;C1042</f>
        <v xml:space="preserve">Inv. Analysis -  FV Measurement - Other                                                              </v>
      </c>
      <c r="H1042" s="223" t="e">
        <f>+H$2</f>
        <v>#N/A</v>
      </c>
      <c r="I1042" s="223" t="str">
        <f t="shared" si="349"/>
        <v>Jun</v>
      </c>
      <c r="J1042" s="222" t="str">
        <f>+J$2</f>
        <v>FY25</v>
      </c>
      <c r="K1042" s="222" t="str">
        <f t="shared" si="351"/>
        <v>FCCS_Other Data</v>
      </c>
      <c r="L1042" s="222" t="str">
        <f t="shared" si="351"/>
        <v>FCCS_No Intercompany</v>
      </c>
      <c r="M1042" s="222" t="str">
        <f>+M$1</f>
        <v>No Custom1</v>
      </c>
      <c r="N1042" s="222" t="str">
        <f t="shared" si="351"/>
        <v>No Custom2</v>
      </c>
      <c r="O1042" s="222" t="s">
        <v>733</v>
      </c>
      <c r="P1042" s="222" t="s">
        <v>881</v>
      </c>
      <c r="Q1042" s="222" t="str">
        <f t="shared" si="350"/>
        <v>FCCS_ClosingBalance_Input</v>
      </c>
      <c r="R1042" s="222" t="str">
        <f t="shared" si="352"/>
        <v>Actual</v>
      </c>
      <c r="S1042" s="222" t="str">
        <f t="shared" si="352"/>
        <v>FCCS_YTD_Input</v>
      </c>
      <c r="T1042" s="222" t="s">
        <v>850</v>
      </c>
    </row>
    <row r="1044" spans="2:20" x14ac:dyDescent="0.3">
      <c r="B1044" s="364" t="s">
        <v>668</v>
      </c>
      <c r="C1044" s="364" t="s">
        <v>959</v>
      </c>
      <c r="D1044" s="366" t="str">
        <f>[2]!HsSetValue(E1044,"FCC","Scenario#"&amp;R1044&amp;";Years#"&amp;J1044&amp;";Period#"&amp;I1044&amp;";View#"&amp;S1044&amp;";Entity#"&amp;H1044&amp;";Data Source#"&amp;K1044&amp;";Account#"&amp;F1044&amp;";Intercompany#"&amp;L1044&amp;";Movement#"&amp;Q1044&amp;";Consolidation#"&amp;T1044&amp;";Custom1#"&amp;M1044&amp;";Custom2#"&amp;N1044&amp;";Custom3#"&amp;O1044&amp;";Custom4#"&amp;P1044&amp;"")</f>
        <v>#Invalid Syntax</v>
      </c>
      <c r="E1044" s="366">
        <f>SUMIF('Investment Analysis'!$E$22:$E$69,'FCC Investments - Load Tab'!C1044,'Investment Analysis'!$K$22:$K$69)</f>
        <v>0</v>
      </c>
      <c r="F1044" s="367" t="s">
        <v>673</v>
      </c>
      <c r="G1044" s="367" t="str">
        <f>"Inv. Analysis - Interest Rate Risk - "&amp;C1044</f>
        <v>Inv. Analysis - Interest Rate Risk - USG Investment Pool - Not LGIP</v>
      </c>
      <c r="H1044" s="368" t="e">
        <f>+H$2</f>
        <v>#N/A</v>
      </c>
      <c r="I1044" s="368" t="str">
        <f t="shared" ref="I1044:I1048" si="353">+I$2</f>
        <v>Jun</v>
      </c>
      <c r="J1044" s="367" t="str">
        <f>+J$2</f>
        <v>FY25</v>
      </c>
      <c r="K1044" s="367" t="s">
        <v>843</v>
      </c>
      <c r="L1044" s="367" t="s">
        <v>844</v>
      </c>
      <c r="M1044" s="367" t="s">
        <v>845</v>
      </c>
      <c r="N1044" s="367" t="s">
        <v>846</v>
      </c>
      <c r="O1044" s="367" t="s">
        <v>721</v>
      </c>
      <c r="P1044" s="367" t="s">
        <v>882</v>
      </c>
      <c r="Q1044" s="367" t="str">
        <f t="shared" ref="Q1044:Q1048" si="354">Q$2</f>
        <v>FCCS_ClosingBalance_Input</v>
      </c>
      <c r="R1044" s="367" t="s">
        <v>169</v>
      </c>
      <c r="S1044" s="367" t="s">
        <v>848</v>
      </c>
      <c r="T1044" s="367" t="s">
        <v>850</v>
      </c>
    </row>
    <row r="1045" spans="2:20" x14ac:dyDescent="0.3">
      <c r="B1045" s="364" t="s">
        <v>668</v>
      </c>
      <c r="C1045" s="364" t="s">
        <v>959</v>
      </c>
      <c r="D1045" s="366" t="str">
        <f>[2]!HsSetValue(E1045,"FCC","Scenario#"&amp;R1045&amp;";Years#"&amp;J1045&amp;";Period#"&amp;I1045&amp;";View#"&amp;S1045&amp;";Entity#"&amp;H1045&amp;";Data Source#"&amp;K1045&amp;";Account#"&amp;F1045&amp;";Intercompany#"&amp;L1045&amp;";Movement#"&amp;Q1045&amp;";Consolidation#"&amp;T1045&amp;";Custom1#"&amp;M1045&amp;";Custom2#"&amp;N1045&amp;";Custom3#"&amp;O1045&amp;";Custom4#"&amp;P1045&amp;"")</f>
        <v>#Invalid Syntax</v>
      </c>
      <c r="E1045" s="366">
        <f>SUMIF('Investment Analysis'!$E$22:$E$69,'FCC Investments - Load Tab'!C1044,'Investment Analysis'!$L$22:$L$69)</f>
        <v>0</v>
      </c>
      <c r="F1045" s="367" t="s">
        <v>673</v>
      </c>
      <c r="G1045" s="367" t="str">
        <f t="shared" ref="G1045:G1048" si="355">"Inv. Analysis - Interest Rate Risk - "&amp;C1045</f>
        <v>Inv. Analysis - Interest Rate Risk - USG Investment Pool - Not LGIP</v>
      </c>
      <c r="H1045" s="368" t="e">
        <f>+H$2</f>
        <v>#N/A</v>
      </c>
      <c r="I1045" s="368" t="str">
        <f t="shared" si="353"/>
        <v>Jun</v>
      </c>
      <c r="J1045" s="367" t="str">
        <f>+J$2</f>
        <v>FY25</v>
      </c>
      <c r="K1045" s="367" t="str">
        <f t="shared" ref="K1045:N1048" si="356">+K$2</f>
        <v>FCCS_Other Data</v>
      </c>
      <c r="L1045" s="367" t="str">
        <f t="shared" si="356"/>
        <v>FCCS_No Intercompany</v>
      </c>
      <c r="M1045" s="367" t="str">
        <f>+M$1</f>
        <v>No Custom1</v>
      </c>
      <c r="N1045" s="367" t="str">
        <f t="shared" si="356"/>
        <v>No Custom2</v>
      </c>
      <c r="O1045" s="367" t="s">
        <v>722</v>
      </c>
      <c r="P1045" s="367" t="s">
        <v>882</v>
      </c>
      <c r="Q1045" s="367" t="str">
        <f t="shared" si="354"/>
        <v>FCCS_ClosingBalance_Input</v>
      </c>
      <c r="R1045" s="367" t="str">
        <f t="shared" ref="R1045:S1048" si="357">+R$2</f>
        <v>Actual</v>
      </c>
      <c r="S1045" s="367" t="str">
        <f t="shared" si="357"/>
        <v>FCCS_YTD_Input</v>
      </c>
      <c r="T1045" s="367" t="s">
        <v>850</v>
      </c>
    </row>
    <row r="1046" spans="2:20" x14ac:dyDescent="0.3">
      <c r="B1046" s="364" t="s">
        <v>668</v>
      </c>
      <c r="C1046" s="364" t="s">
        <v>959</v>
      </c>
      <c r="D1046" s="366" t="str">
        <f>[2]!HsSetValue(E1046,"FCC","Scenario#"&amp;R1046&amp;";Years#"&amp;J1046&amp;";Period#"&amp;I1046&amp;";View#"&amp;S1046&amp;";Entity#"&amp;H1046&amp;";Data Source#"&amp;K1046&amp;";Account#"&amp;F1046&amp;";Intercompany#"&amp;L1046&amp;";Movement#"&amp;Q1046&amp;";Consolidation#"&amp;T1046&amp;";Custom1#"&amp;M1046&amp;";Custom2#"&amp;N1046&amp;";Custom3#"&amp;O1046&amp;";Custom4#"&amp;P1046&amp;"")</f>
        <v>#Invalid Syntax</v>
      </c>
      <c r="E1046" s="366">
        <f>SUMIF('Investment Analysis'!$E$22:$E$69,'FCC Investments - Load Tab'!C1044,'Investment Analysis'!$M$22:$M$69)</f>
        <v>0</v>
      </c>
      <c r="F1046" s="367" t="s">
        <v>673</v>
      </c>
      <c r="G1046" s="367" t="str">
        <f t="shared" si="355"/>
        <v>Inv. Analysis - Interest Rate Risk - USG Investment Pool - Not LGIP</v>
      </c>
      <c r="H1046" s="368" t="e">
        <f>+H$2</f>
        <v>#N/A</v>
      </c>
      <c r="I1046" s="368" t="str">
        <f t="shared" si="353"/>
        <v>Jun</v>
      </c>
      <c r="J1046" s="367" t="str">
        <f>+J$2</f>
        <v>FY25</v>
      </c>
      <c r="K1046" s="367" t="str">
        <f t="shared" si="356"/>
        <v>FCCS_Other Data</v>
      </c>
      <c r="L1046" s="367" t="str">
        <f t="shared" si="356"/>
        <v>FCCS_No Intercompany</v>
      </c>
      <c r="M1046" s="367" t="str">
        <f>+M$1</f>
        <v>No Custom1</v>
      </c>
      <c r="N1046" s="367" t="str">
        <f t="shared" si="356"/>
        <v>No Custom2</v>
      </c>
      <c r="O1046" s="367" t="s">
        <v>723</v>
      </c>
      <c r="P1046" s="367" t="s">
        <v>882</v>
      </c>
      <c r="Q1046" s="367" t="str">
        <f t="shared" si="354"/>
        <v>FCCS_ClosingBalance_Input</v>
      </c>
      <c r="R1046" s="367" t="str">
        <f t="shared" si="357"/>
        <v>Actual</v>
      </c>
      <c r="S1046" s="367" t="str">
        <f t="shared" si="357"/>
        <v>FCCS_YTD_Input</v>
      </c>
      <c r="T1046" s="367" t="s">
        <v>850</v>
      </c>
    </row>
    <row r="1047" spans="2:20" x14ac:dyDescent="0.3">
      <c r="B1047" s="364" t="s">
        <v>668</v>
      </c>
      <c r="C1047" s="364" t="s">
        <v>959</v>
      </c>
      <c r="D1047" s="366" t="str">
        <f>[2]!HsSetValue(E1047,"FCC","Scenario#"&amp;R1047&amp;";Years#"&amp;J1047&amp;";Period#"&amp;I1047&amp;";View#"&amp;S1047&amp;";Entity#"&amp;H1047&amp;";Data Source#"&amp;K1047&amp;";Account#"&amp;F1047&amp;";Intercompany#"&amp;L1047&amp;";Movement#"&amp;Q1047&amp;";Consolidation#"&amp;T1047&amp;";Custom1#"&amp;M1047&amp;";Custom2#"&amp;N1047&amp;";Custom3#"&amp;O1047&amp;";Custom4#"&amp;P1047&amp;"")</f>
        <v>#Invalid Syntax</v>
      </c>
      <c r="E1047" s="366">
        <f>SUMIF('Investment Analysis'!$E$22:$E$69,'FCC Investments - Load Tab'!C1047,'Investment Analysis'!$N$22:$N$69)</f>
        <v>0</v>
      </c>
      <c r="F1047" s="367" t="s">
        <v>673</v>
      </c>
      <c r="G1047" s="367" t="str">
        <f t="shared" si="355"/>
        <v>Inv. Analysis - Interest Rate Risk - USG Investment Pool - Not LGIP</v>
      </c>
      <c r="H1047" s="368" t="e">
        <f>+H$2</f>
        <v>#N/A</v>
      </c>
      <c r="I1047" s="368" t="str">
        <f t="shared" si="353"/>
        <v>Jun</v>
      </c>
      <c r="J1047" s="367" t="str">
        <f>+J$2</f>
        <v>FY25</v>
      </c>
      <c r="K1047" s="367" t="str">
        <f t="shared" si="356"/>
        <v>FCCS_Other Data</v>
      </c>
      <c r="L1047" s="367" t="str">
        <f t="shared" si="356"/>
        <v>FCCS_No Intercompany</v>
      </c>
      <c r="M1047" s="367" t="str">
        <f>+M$1</f>
        <v>No Custom1</v>
      </c>
      <c r="N1047" s="367" t="str">
        <f t="shared" si="356"/>
        <v>No Custom2</v>
      </c>
      <c r="O1047" s="367" t="s">
        <v>724</v>
      </c>
      <c r="P1047" s="367" t="s">
        <v>882</v>
      </c>
      <c r="Q1047" s="367" t="str">
        <f t="shared" si="354"/>
        <v>FCCS_ClosingBalance_Input</v>
      </c>
      <c r="R1047" s="367" t="str">
        <f t="shared" si="357"/>
        <v>Actual</v>
      </c>
      <c r="S1047" s="367" t="str">
        <f t="shared" si="357"/>
        <v>FCCS_YTD_Input</v>
      </c>
      <c r="T1047" s="367" t="s">
        <v>850</v>
      </c>
    </row>
    <row r="1048" spans="2:20" x14ac:dyDescent="0.3">
      <c r="B1048" s="364" t="s">
        <v>668</v>
      </c>
      <c r="C1048" s="364" t="s">
        <v>959</v>
      </c>
      <c r="D1048" s="366" t="str">
        <f>[2]!HsSetValue(E1048,"FCC","Scenario#"&amp;R1048&amp;";Years#"&amp;J1048&amp;";Period#"&amp;I1048&amp;";View#"&amp;S1048&amp;";Entity#"&amp;H1048&amp;";Data Source#"&amp;K1048&amp;";Account#"&amp;F1048&amp;";Intercompany#"&amp;L1048&amp;";Movement#"&amp;Q1048&amp;";Consolidation#"&amp;T1048&amp;";Custom1#"&amp;M1048&amp;";Custom2#"&amp;N1048&amp;";Custom3#"&amp;O1048&amp;";Custom4#"&amp;P1048&amp;"")</f>
        <v>#Invalid Syntax</v>
      </c>
      <c r="E1048" s="366">
        <f>SUMIF('Investment Analysis'!$E$2:$E$69,'FCC Investments - Load Tab'!C1048,'Investment Analysis'!$O$2:$O$69)</f>
        <v>0</v>
      </c>
      <c r="F1048" s="367" t="s">
        <v>673</v>
      </c>
      <c r="G1048" s="367" t="str">
        <f t="shared" si="355"/>
        <v>Inv. Analysis - Interest Rate Risk - USG Investment Pool - Not LGIP</v>
      </c>
      <c r="H1048" s="368" t="e">
        <f>+H$2</f>
        <v>#N/A</v>
      </c>
      <c r="I1048" s="368" t="str">
        <f t="shared" si="353"/>
        <v>Jun</v>
      </c>
      <c r="J1048" s="367" t="str">
        <f>+J$2</f>
        <v>FY25</v>
      </c>
      <c r="K1048" s="367" t="str">
        <f t="shared" si="356"/>
        <v>FCCS_Other Data</v>
      </c>
      <c r="L1048" s="367" t="str">
        <f t="shared" si="356"/>
        <v>FCCS_No Intercompany</v>
      </c>
      <c r="M1048" s="367" t="str">
        <f>+M$1</f>
        <v>No Custom1</v>
      </c>
      <c r="N1048" s="367" t="str">
        <f t="shared" si="356"/>
        <v>No Custom2</v>
      </c>
      <c r="O1048" s="367" t="s">
        <v>725</v>
      </c>
      <c r="P1048" s="367" t="s">
        <v>882</v>
      </c>
      <c r="Q1048" s="367" t="str">
        <f t="shared" si="354"/>
        <v>FCCS_ClosingBalance_Input</v>
      </c>
      <c r="R1048" s="367" t="str">
        <f t="shared" si="357"/>
        <v>Actual</v>
      </c>
      <c r="S1048" s="367" t="str">
        <f t="shared" si="357"/>
        <v>FCCS_YTD_Input</v>
      </c>
      <c r="T1048" s="367" t="s">
        <v>850</v>
      </c>
    </row>
    <row r="1049" spans="2:20" ht="16.5" customHeight="1" x14ac:dyDescent="0.3">
      <c r="B1049" s="210"/>
      <c r="C1049" s="210"/>
      <c r="D1049" s="212"/>
      <c r="E1049" s="212"/>
    </row>
    <row r="1050" spans="2:20" x14ac:dyDescent="0.3">
      <c r="B1050" s="214" t="s">
        <v>667</v>
      </c>
      <c r="C1050" s="214" t="s">
        <v>888</v>
      </c>
      <c r="D1050" s="216" t="str">
        <f>[2]!HsSetValue(E1050,"FCC","Scenario#"&amp;R1050&amp;";Years#"&amp;J1050&amp;";Period#"&amp;I1050&amp;";View#"&amp;S1050&amp;";Entity#"&amp;H1050&amp;";Data Source#"&amp;K1050&amp;";Account#"&amp;F1050&amp;";Intercompany#"&amp;L1050&amp;";Movement#"&amp;Q1050&amp;";Consolidation#"&amp;T1050&amp;";Custom1#"&amp;M1050&amp;";Custom2#"&amp;N1050&amp;";Custom3#"&amp;O1050&amp;";Custom4#"&amp;P1050&amp;"")</f>
        <v>#Invalid Syntax</v>
      </c>
      <c r="E1050" s="216">
        <f>SUMIFS('Investment Analysis'!$H$22:$H$69,'Investment Analysis'!$E$22:$E$69,"USG Investment Pool - Not LGIP",'Investment Analysis'!$AB$22:$AB$69,"10")</f>
        <v>0</v>
      </c>
      <c r="F1050" s="217" t="s">
        <v>674</v>
      </c>
      <c r="G1050" s="217" t="str">
        <f t="shared" ref="G1050:G1063" si="358">"Inv. Analysis - Credit Quality Risk - "&amp;C1050</f>
        <v xml:space="preserve">Inv. Analysis - Credit Quality Risk - USG Investment Pool - Not LGIP   </v>
      </c>
      <c r="H1050" s="218" t="e">
        <f t="shared" ref="H1050:N1063" si="359">+H$2</f>
        <v>#N/A</v>
      </c>
      <c r="I1050" s="218" t="str">
        <f t="shared" si="359"/>
        <v>Jun</v>
      </c>
      <c r="J1050" s="217" t="str">
        <f t="shared" si="359"/>
        <v>FY25</v>
      </c>
      <c r="K1050" s="217" t="str">
        <f t="shared" si="359"/>
        <v>FCCS_Other Data</v>
      </c>
      <c r="L1050" s="217" t="str">
        <f t="shared" si="359"/>
        <v>FCCS_No Intercompany</v>
      </c>
      <c r="M1050" s="217" t="str">
        <f t="shared" ref="M1050:M1063" si="360">+M$1</f>
        <v>No Custom1</v>
      </c>
      <c r="N1050" s="217" t="str">
        <f t="shared" si="359"/>
        <v>No Custom2</v>
      </c>
      <c r="O1050" s="217" t="s">
        <v>433</v>
      </c>
      <c r="P1050" s="217" t="s">
        <v>882</v>
      </c>
      <c r="Q1050" s="217" t="str">
        <f t="shared" ref="Q1050:Q1063" si="361">Q$2</f>
        <v>FCCS_ClosingBalance_Input</v>
      </c>
      <c r="R1050" s="217" t="str">
        <f t="shared" ref="R1050:S1063" si="362">+R$2</f>
        <v>Actual</v>
      </c>
      <c r="S1050" s="217" t="str">
        <f t="shared" si="362"/>
        <v>FCCS_YTD_Input</v>
      </c>
      <c r="T1050" s="217" t="s">
        <v>850</v>
      </c>
    </row>
    <row r="1051" spans="2:20" x14ac:dyDescent="0.3">
      <c r="B1051" s="214" t="s">
        <v>667</v>
      </c>
      <c r="C1051" s="214" t="s">
        <v>888</v>
      </c>
      <c r="D1051" s="216" t="str">
        <f>[2]!HsSetValue(E1051,"FCC","Scenario#"&amp;R1051&amp;";Years#"&amp;J1051&amp;";Period#"&amp;I1051&amp;";View#"&amp;S1051&amp;";Entity#"&amp;H1051&amp;";Data Source#"&amp;K1051&amp;";Account#"&amp;F1051&amp;";Intercompany#"&amp;L1051&amp;";Movement#"&amp;Q1051&amp;";Consolidation#"&amp;T1051&amp;";Custom1#"&amp;M1051&amp;";Custom2#"&amp;N1051&amp;";Custom3#"&amp;O1051&amp;";Custom4#"&amp;P1051&amp;"")</f>
        <v>#Invalid Syntax</v>
      </c>
      <c r="E1051" s="216">
        <f>SUMIFS('Investment Analysis'!$H$22:$H$69,'Investment Analysis'!$E$22:$E$69,"USG Investment Pool - Not LGIP",'Investment Analysis'!$AB$22:$AB$69,"9")</f>
        <v>0</v>
      </c>
      <c r="F1051" s="217" t="s">
        <v>674</v>
      </c>
      <c r="G1051" s="217" t="str">
        <f t="shared" si="358"/>
        <v xml:space="preserve">Inv. Analysis - Credit Quality Risk - USG Investment Pool - Not LGIP   </v>
      </c>
      <c r="H1051" s="218" t="e">
        <f t="shared" si="359"/>
        <v>#N/A</v>
      </c>
      <c r="I1051" s="218" t="str">
        <f t="shared" si="359"/>
        <v>Jun</v>
      </c>
      <c r="J1051" s="217" t="str">
        <f t="shared" si="359"/>
        <v>FY25</v>
      </c>
      <c r="K1051" s="217" t="str">
        <f t="shared" si="359"/>
        <v>FCCS_Other Data</v>
      </c>
      <c r="L1051" s="217" t="str">
        <f t="shared" si="359"/>
        <v>FCCS_No Intercompany</v>
      </c>
      <c r="M1051" s="217" t="str">
        <f t="shared" si="360"/>
        <v>No Custom1</v>
      </c>
      <c r="N1051" s="217" t="str">
        <f t="shared" si="359"/>
        <v>No Custom2</v>
      </c>
      <c r="O1051" s="217" t="s">
        <v>596</v>
      </c>
      <c r="P1051" s="217" t="s">
        <v>882</v>
      </c>
      <c r="Q1051" s="217" t="str">
        <f t="shared" si="361"/>
        <v>FCCS_ClosingBalance_Input</v>
      </c>
      <c r="R1051" s="217" t="str">
        <f t="shared" si="362"/>
        <v>Actual</v>
      </c>
      <c r="S1051" s="217" t="str">
        <f t="shared" si="362"/>
        <v>FCCS_YTD_Input</v>
      </c>
      <c r="T1051" s="217" t="s">
        <v>850</v>
      </c>
    </row>
    <row r="1052" spans="2:20" x14ac:dyDescent="0.3">
      <c r="B1052" s="214" t="s">
        <v>667</v>
      </c>
      <c r="C1052" s="214" t="s">
        <v>888</v>
      </c>
      <c r="D1052" s="216" t="str">
        <f>[2]!HsSetValue(E1052,"FCC","Scenario#"&amp;R1052&amp;";Years#"&amp;J1052&amp;";Period#"&amp;I1052&amp;";View#"&amp;S1052&amp;";Entity#"&amp;H1052&amp;";Data Source#"&amp;K1052&amp;";Account#"&amp;F1052&amp;";Intercompany#"&amp;L1052&amp;";Movement#"&amp;Q1052&amp;";Consolidation#"&amp;T1052&amp;";Custom1#"&amp;M1052&amp;";Custom2#"&amp;N1052&amp;";Custom3#"&amp;O1052&amp;";Custom4#"&amp;P1052&amp;"")</f>
        <v>#Invalid Syntax</v>
      </c>
      <c r="E1052" s="216">
        <f>SUMIFS('Investment Analysis'!$H$22:$H$69,'Investment Analysis'!$E$22:$E$69,"USG Investment Pool - Not LGIP",'Investment Analysis'!$AB$22:$AB$69,"8")</f>
        <v>0</v>
      </c>
      <c r="F1052" s="217" t="s">
        <v>674</v>
      </c>
      <c r="G1052" s="217" t="str">
        <f t="shared" si="358"/>
        <v xml:space="preserve">Inv. Analysis - Credit Quality Risk - USG Investment Pool - Not LGIP   </v>
      </c>
      <c r="H1052" s="218" t="e">
        <f t="shared" si="359"/>
        <v>#N/A</v>
      </c>
      <c r="I1052" s="218" t="str">
        <f t="shared" si="359"/>
        <v>Jun</v>
      </c>
      <c r="J1052" s="217" t="str">
        <f t="shared" si="359"/>
        <v>FY25</v>
      </c>
      <c r="K1052" s="217" t="str">
        <f t="shared" si="359"/>
        <v>FCCS_Other Data</v>
      </c>
      <c r="L1052" s="217" t="str">
        <f t="shared" si="359"/>
        <v>FCCS_No Intercompany</v>
      </c>
      <c r="M1052" s="217" t="str">
        <f t="shared" si="360"/>
        <v>No Custom1</v>
      </c>
      <c r="N1052" s="217" t="str">
        <f t="shared" si="359"/>
        <v>No Custom2</v>
      </c>
      <c r="O1052" s="217" t="s">
        <v>61</v>
      </c>
      <c r="P1052" s="217" t="s">
        <v>882</v>
      </c>
      <c r="Q1052" s="217" t="str">
        <f t="shared" si="361"/>
        <v>FCCS_ClosingBalance_Input</v>
      </c>
      <c r="R1052" s="217" t="str">
        <f t="shared" si="362"/>
        <v>Actual</v>
      </c>
      <c r="S1052" s="217" t="str">
        <f t="shared" si="362"/>
        <v>FCCS_YTD_Input</v>
      </c>
      <c r="T1052" s="217" t="s">
        <v>850</v>
      </c>
    </row>
    <row r="1053" spans="2:20" x14ac:dyDescent="0.3">
      <c r="B1053" s="214" t="s">
        <v>667</v>
      </c>
      <c r="C1053" s="214" t="s">
        <v>888</v>
      </c>
      <c r="D1053" s="216" t="str">
        <f>[2]!HsSetValue(E1053,"FCC","Scenario#"&amp;R1053&amp;";Years#"&amp;J1053&amp;";Period#"&amp;I1053&amp;";View#"&amp;S1053&amp;";Entity#"&amp;H1053&amp;";Data Source#"&amp;K1053&amp;";Account#"&amp;F1053&amp;";Intercompany#"&amp;L1053&amp;";Movement#"&amp;Q1053&amp;";Consolidation#"&amp;T1053&amp;";Custom1#"&amp;M1053&amp;";Custom2#"&amp;N1053&amp;";Custom3#"&amp;O1053&amp;";Custom4#"&amp;P1053&amp;"")</f>
        <v>#Invalid Syntax</v>
      </c>
      <c r="E1053" s="216">
        <f>SUMIFS('Investment Analysis'!$H$22:$H$69,'Investment Analysis'!$E$22:$E$69,"USG Investment Pool - Not LGIP",'Investment Analysis'!$AB$22:$AB$69,"7")</f>
        <v>0</v>
      </c>
      <c r="F1053" s="217" t="s">
        <v>674</v>
      </c>
      <c r="G1053" s="217" t="str">
        <f t="shared" si="358"/>
        <v xml:space="preserve">Inv. Analysis - Credit Quality Risk - USG Investment Pool - Not LGIP   </v>
      </c>
      <c r="H1053" s="218" t="e">
        <f t="shared" si="359"/>
        <v>#N/A</v>
      </c>
      <c r="I1053" s="218" t="str">
        <f t="shared" si="359"/>
        <v>Jun</v>
      </c>
      <c r="J1053" s="217" t="str">
        <f t="shared" si="359"/>
        <v>FY25</v>
      </c>
      <c r="K1053" s="217" t="str">
        <f t="shared" si="359"/>
        <v>FCCS_Other Data</v>
      </c>
      <c r="L1053" s="217" t="str">
        <f t="shared" si="359"/>
        <v>FCCS_No Intercompany</v>
      </c>
      <c r="M1053" s="217" t="str">
        <f t="shared" si="360"/>
        <v>No Custom1</v>
      </c>
      <c r="N1053" s="217" t="str">
        <f t="shared" si="359"/>
        <v>No Custom2</v>
      </c>
      <c r="O1053" s="217" t="s">
        <v>62</v>
      </c>
      <c r="P1053" s="217" t="s">
        <v>882</v>
      </c>
      <c r="Q1053" s="217" t="str">
        <f t="shared" si="361"/>
        <v>FCCS_ClosingBalance_Input</v>
      </c>
      <c r="R1053" s="217" t="str">
        <f t="shared" si="362"/>
        <v>Actual</v>
      </c>
      <c r="S1053" s="217" t="str">
        <f t="shared" si="362"/>
        <v>FCCS_YTD_Input</v>
      </c>
      <c r="T1053" s="217" t="s">
        <v>850</v>
      </c>
    </row>
    <row r="1054" spans="2:20" x14ac:dyDescent="0.3">
      <c r="B1054" s="214" t="s">
        <v>667</v>
      </c>
      <c r="C1054" s="214" t="s">
        <v>888</v>
      </c>
      <c r="D1054" s="216" t="str">
        <f>[2]!HsSetValue(E1054,"FCC","Scenario#"&amp;R1054&amp;";Years#"&amp;J1054&amp;";Period#"&amp;I1054&amp;";View#"&amp;S1054&amp;";Entity#"&amp;H1054&amp;";Data Source#"&amp;K1054&amp;";Account#"&amp;F1054&amp;";Intercompany#"&amp;L1054&amp;";Movement#"&amp;Q1054&amp;";Consolidation#"&amp;T1054&amp;";Custom1#"&amp;M1054&amp;";Custom2#"&amp;N1054&amp;";Custom3#"&amp;O1054&amp;";Custom4#"&amp;P1054&amp;"")</f>
        <v>#Invalid Syntax</v>
      </c>
      <c r="E1054" s="216">
        <f>SUMIFS('Investment Analysis'!$H$22:$H$69,'Investment Analysis'!$E$22:$E$69,"USG Investment Pool - Not LGIP",'Investment Analysis'!$AB$22:$AB$69,"6")</f>
        <v>0</v>
      </c>
      <c r="F1054" s="217" t="s">
        <v>674</v>
      </c>
      <c r="G1054" s="217" t="str">
        <f t="shared" si="358"/>
        <v xml:space="preserve">Inv. Analysis - Credit Quality Risk - USG Investment Pool - Not LGIP   </v>
      </c>
      <c r="H1054" s="218" t="e">
        <f t="shared" si="359"/>
        <v>#N/A</v>
      </c>
      <c r="I1054" s="218" t="str">
        <f t="shared" si="359"/>
        <v>Jun</v>
      </c>
      <c r="J1054" s="217" t="str">
        <f t="shared" si="359"/>
        <v>FY25</v>
      </c>
      <c r="K1054" s="217" t="str">
        <f t="shared" si="359"/>
        <v>FCCS_Other Data</v>
      </c>
      <c r="L1054" s="217" t="str">
        <f t="shared" si="359"/>
        <v>FCCS_No Intercompany</v>
      </c>
      <c r="M1054" s="217" t="str">
        <f t="shared" si="360"/>
        <v>No Custom1</v>
      </c>
      <c r="N1054" s="217" t="str">
        <f t="shared" si="359"/>
        <v>No Custom2</v>
      </c>
      <c r="O1054" s="217" t="s">
        <v>436</v>
      </c>
      <c r="P1054" s="217" t="s">
        <v>882</v>
      </c>
      <c r="Q1054" s="217" t="str">
        <f t="shared" si="361"/>
        <v>FCCS_ClosingBalance_Input</v>
      </c>
      <c r="R1054" s="217" t="str">
        <f t="shared" si="362"/>
        <v>Actual</v>
      </c>
      <c r="S1054" s="217" t="str">
        <f t="shared" si="362"/>
        <v>FCCS_YTD_Input</v>
      </c>
      <c r="T1054" s="217" t="s">
        <v>850</v>
      </c>
    </row>
    <row r="1055" spans="2:20" s="371" customFormat="1" x14ac:dyDescent="0.3">
      <c r="B1055" s="214" t="s">
        <v>667</v>
      </c>
      <c r="C1055" s="214" t="s">
        <v>888</v>
      </c>
      <c r="D1055" s="216" t="str">
        <f>[2]!HsSetValue(E1055,"FCC","Scenario#"&amp;R1055&amp;";Years#"&amp;J1055&amp;";Period#"&amp;I1055&amp;";View#"&amp;S1055&amp;";Entity#"&amp;H1055&amp;";Data Source#"&amp;K1055&amp;";Account#"&amp;F1055&amp;";Intercompany#"&amp;L1055&amp;";Movement#"&amp;Q1055&amp;";Consolidation#"&amp;T1055&amp;";Custom1#"&amp;M1055&amp;";Custom2#"&amp;N1055&amp;";Custom3#"&amp;O1055&amp;";Custom4#"&amp;P1055&amp;"")</f>
        <v>#Invalid Syntax</v>
      </c>
      <c r="E1055" s="216">
        <f>SUMIFS('Investment Analysis'!$H$22:$H$69,'Investment Analysis'!$E$22:$E$69,"USG Investment Pool - Not LGIP",'Investment Analysis'!$AB$22:$AB$69,"5")</f>
        <v>0</v>
      </c>
      <c r="F1055" s="217" t="s">
        <v>674</v>
      </c>
      <c r="G1055" s="217" t="str">
        <f t="shared" si="358"/>
        <v xml:space="preserve">Inv. Analysis - Credit Quality Risk - USG Investment Pool - Not LGIP   </v>
      </c>
      <c r="H1055" s="218" t="e">
        <f t="shared" si="359"/>
        <v>#N/A</v>
      </c>
      <c r="I1055" s="218" t="str">
        <f t="shared" si="359"/>
        <v>Jun</v>
      </c>
      <c r="J1055" s="217" t="str">
        <f t="shared" si="359"/>
        <v>FY25</v>
      </c>
      <c r="K1055" s="217" t="str">
        <f t="shared" si="359"/>
        <v>FCCS_Other Data</v>
      </c>
      <c r="L1055" s="217" t="str">
        <f t="shared" si="359"/>
        <v>FCCS_No Intercompany</v>
      </c>
      <c r="M1055" s="217" t="str">
        <f t="shared" si="360"/>
        <v>No Custom1</v>
      </c>
      <c r="N1055" s="217" t="str">
        <f t="shared" si="359"/>
        <v>No Custom2</v>
      </c>
      <c r="O1055" s="217" t="s">
        <v>434</v>
      </c>
      <c r="P1055" s="217" t="s">
        <v>882</v>
      </c>
      <c r="Q1055" s="217" t="str">
        <f t="shared" si="361"/>
        <v>FCCS_ClosingBalance_Input</v>
      </c>
      <c r="R1055" s="217" t="str">
        <f t="shared" si="362"/>
        <v>Actual</v>
      </c>
      <c r="S1055" s="217" t="str">
        <f t="shared" si="362"/>
        <v>FCCS_YTD_Input</v>
      </c>
      <c r="T1055" s="217" t="s">
        <v>850</v>
      </c>
    </row>
    <row r="1056" spans="2:20" s="371" customFormat="1" x14ac:dyDescent="0.3">
      <c r="B1056" s="214" t="s">
        <v>667</v>
      </c>
      <c r="C1056" s="214" t="s">
        <v>888</v>
      </c>
      <c r="D1056" s="216" t="str">
        <f>[2]!HsSetValue(E1056,"FCC","Scenario#"&amp;R1056&amp;";Years#"&amp;J1056&amp;";Period#"&amp;I1056&amp;";View#"&amp;S1056&amp;";Entity#"&amp;H1056&amp;";Data Source#"&amp;K1056&amp;";Account#"&amp;F1056&amp;";Intercompany#"&amp;L1056&amp;";Movement#"&amp;Q1056&amp;";Consolidation#"&amp;T1056&amp;";Custom1#"&amp;M1056&amp;";Custom2#"&amp;N1056&amp;";Custom3#"&amp;O1056&amp;";Custom4#"&amp;P1056&amp;"")</f>
        <v>#Invalid Syntax</v>
      </c>
      <c r="E1056" s="216">
        <f>SUMIFS('Investment Analysis'!$H$22:$H$69,'Investment Analysis'!$E$22:$E$69,"USG Investment Pool - Not LGIP",'Investment Analysis'!$AB$22:$AB$69,"4")</f>
        <v>0</v>
      </c>
      <c r="F1056" s="217" t="s">
        <v>674</v>
      </c>
      <c r="G1056" s="217" t="str">
        <f t="shared" si="358"/>
        <v xml:space="preserve">Inv. Analysis - Credit Quality Risk - USG Investment Pool - Not LGIP   </v>
      </c>
      <c r="H1056" s="218" t="e">
        <f t="shared" si="359"/>
        <v>#N/A</v>
      </c>
      <c r="I1056" s="218" t="str">
        <f t="shared" si="359"/>
        <v>Jun</v>
      </c>
      <c r="J1056" s="217" t="str">
        <f t="shared" si="359"/>
        <v>FY25</v>
      </c>
      <c r="K1056" s="217" t="str">
        <f t="shared" si="359"/>
        <v>FCCS_Other Data</v>
      </c>
      <c r="L1056" s="217" t="str">
        <f t="shared" si="359"/>
        <v>FCCS_No Intercompany</v>
      </c>
      <c r="M1056" s="217" t="str">
        <f t="shared" si="360"/>
        <v>No Custom1</v>
      </c>
      <c r="N1056" s="217" t="str">
        <f t="shared" si="359"/>
        <v>No Custom2</v>
      </c>
      <c r="O1056" s="217" t="s">
        <v>63</v>
      </c>
      <c r="P1056" s="217" t="s">
        <v>882</v>
      </c>
      <c r="Q1056" s="217" t="str">
        <f t="shared" si="361"/>
        <v>FCCS_ClosingBalance_Input</v>
      </c>
      <c r="R1056" s="217" t="str">
        <f t="shared" si="362"/>
        <v>Actual</v>
      </c>
      <c r="S1056" s="217" t="str">
        <f t="shared" si="362"/>
        <v>FCCS_YTD_Input</v>
      </c>
      <c r="T1056" s="217" t="s">
        <v>850</v>
      </c>
    </row>
    <row r="1057" spans="2:20" s="371" customFormat="1" x14ac:dyDescent="0.3">
      <c r="B1057" s="214" t="s">
        <v>667</v>
      </c>
      <c r="C1057" s="214" t="s">
        <v>888</v>
      </c>
      <c r="D1057" s="216" t="str">
        <f>[2]!HsSetValue(E1057,"FCC","Scenario#"&amp;R1057&amp;";Years#"&amp;J1057&amp;";Period#"&amp;I1057&amp;";View#"&amp;S1057&amp;";Entity#"&amp;H1057&amp;";Data Source#"&amp;K1057&amp;";Account#"&amp;F1057&amp;";Intercompany#"&amp;L1057&amp;";Movement#"&amp;Q1057&amp;";Consolidation#"&amp;T1057&amp;";Custom1#"&amp;M1057&amp;";Custom2#"&amp;N1057&amp;";Custom3#"&amp;O1057&amp;";Custom4#"&amp;P1057&amp;"")</f>
        <v>#Invalid Syntax</v>
      </c>
      <c r="E1057" s="216">
        <f>SUMIFS('Investment Analysis'!$H$22:$H$69,'Investment Analysis'!$E$22:$E$69,"USG Investment Pool - Not LGIP",'Investment Analysis'!$AB$22:$AB$69,"3")</f>
        <v>0</v>
      </c>
      <c r="F1057" s="217" t="s">
        <v>674</v>
      </c>
      <c r="G1057" s="217" t="str">
        <f t="shared" si="358"/>
        <v xml:space="preserve">Inv. Analysis - Credit Quality Risk - USG Investment Pool - Not LGIP   </v>
      </c>
      <c r="H1057" s="218" t="e">
        <f t="shared" si="359"/>
        <v>#N/A</v>
      </c>
      <c r="I1057" s="218" t="str">
        <f t="shared" si="359"/>
        <v>Jun</v>
      </c>
      <c r="J1057" s="217" t="str">
        <f t="shared" si="359"/>
        <v>FY25</v>
      </c>
      <c r="K1057" s="217" t="str">
        <f t="shared" si="359"/>
        <v>FCCS_Other Data</v>
      </c>
      <c r="L1057" s="217" t="str">
        <f t="shared" si="359"/>
        <v>FCCS_No Intercompany</v>
      </c>
      <c r="M1057" s="217" t="str">
        <f t="shared" si="360"/>
        <v>No Custom1</v>
      </c>
      <c r="N1057" s="217" t="str">
        <f t="shared" si="359"/>
        <v>No Custom2</v>
      </c>
      <c r="O1057" s="217" t="s">
        <v>622</v>
      </c>
      <c r="P1057" s="217" t="s">
        <v>882</v>
      </c>
      <c r="Q1057" s="217" t="str">
        <f t="shared" si="361"/>
        <v>FCCS_ClosingBalance_Input</v>
      </c>
      <c r="R1057" s="217" t="str">
        <f t="shared" si="362"/>
        <v>Actual</v>
      </c>
      <c r="S1057" s="217" t="str">
        <f t="shared" si="362"/>
        <v>FCCS_YTD_Input</v>
      </c>
      <c r="T1057" s="217" t="s">
        <v>850</v>
      </c>
    </row>
    <row r="1058" spans="2:20" s="371" customFormat="1" x14ac:dyDescent="0.3">
      <c r="B1058" s="214" t="s">
        <v>667</v>
      </c>
      <c r="C1058" s="214" t="s">
        <v>888</v>
      </c>
      <c r="D1058" s="216" t="str">
        <f>[2]!HsSetValue(E1058,"FCC","Scenario#"&amp;R1058&amp;";Years#"&amp;J1058&amp;";Period#"&amp;I1058&amp;";View#"&amp;S1058&amp;";Entity#"&amp;H1058&amp;";Data Source#"&amp;K1058&amp;";Account#"&amp;F1058&amp;";Intercompany#"&amp;L1058&amp;";Movement#"&amp;Q1058&amp;";Consolidation#"&amp;T1058&amp;";Custom1#"&amp;M1058&amp;";Custom2#"&amp;N1058&amp;";Custom3#"&amp;O1058&amp;";Custom4#"&amp;P1058&amp;"")</f>
        <v>#Invalid Syntax</v>
      </c>
      <c r="E1058" s="216">
        <f>SUMIFS('Investment Analysis'!$H$22:$H$69,'Investment Analysis'!$E$22:$E$69,"USG Investment Pool - Not LGIP",'Investment Analysis'!$AB$22:$AB$69,"2")</f>
        <v>0</v>
      </c>
      <c r="F1058" s="217" t="s">
        <v>674</v>
      </c>
      <c r="G1058" s="217" t="str">
        <f t="shared" si="358"/>
        <v xml:space="preserve">Inv. Analysis - Credit Quality Risk - USG Investment Pool - Not LGIP   </v>
      </c>
      <c r="H1058" s="218" t="e">
        <f t="shared" si="359"/>
        <v>#N/A</v>
      </c>
      <c r="I1058" s="218" t="str">
        <f t="shared" si="359"/>
        <v>Jun</v>
      </c>
      <c r="J1058" s="217" t="str">
        <f t="shared" si="359"/>
        <v>FY25</v>
      </c>
      <c r="K1058" s="217" t="str">
        <f t="shared" si="359"/>
        <v>FCCS_Other Data</v>
      </c>
      <c r="L1058" s="217" t="str">
        <f t="shared" si="359"/>
        <v>FCCS_No Intercompany</v>
      </c>
      <c r="M1058" s="217" t="str">
        <f t="shared" si="360"/>
        <v>No Custom1</v>
      </c>
      <c r="N1058" s="217" t="str">
        <f t="shared" si="359"/>
        <v>No Custom2</v>
      </c>
      <c r="O1058" s="217" t="s">
        <v>618</v>
      </c>
      <c r="P1058" s="217" t="s">
        <v>882</v>
      </c>
      <c r="Q1058" s="217" t="str">
        <f t="shared" si="361"/>
        <v>FCCS_ClosingBalance_Input</v>
      </c>
      <c r="R1058" s="217" t="str">
        <f t="shared" si="362"/>
        <v>Actual</v>
      </c>
      <c r="S1058" s="217" t="str">
        <f t="shared" si="362"/>
        <v>FCCS_YTD_Input</v>
      </c>
      <c r="T1058" s="217" t="s">
        <v>850</v>
      </c>
    </row>
    <row r="1059" spans="2:20" s="371" customFormat="1" x14ac:dyDescent="0.3">
      <c r="B1059" s="214" t="s">
        <v>667</v>
      </c>
      <c r="C1059" s="214" t="s">
        <v>888</v>
      </c>
      <c r="D1059" s="216" t="str">
        <f>[2]!HsSetValue(E1059,"FCC","Scenario#"&amp;R1059&amp;";Years#"&amp;J1059&amp;";Period#"&amp;I1059&amp;";View#"&amp;S1059&amp;";Entity#"&amp;H1059&amp;";Data Source#"&amp;K1059&amp;";Account#"&amp;F1059&amp;";Intercompany#"&amp;L1059&amp;";Movement#"&amp;Q1059&amp;";Consolidation#"&amp;T1059&amp;";Custom1#"&amp;M1059&amp;";Custom2#"&amp;N1059&amp;";Custom3#"&amp;O1059&amp;";Custom4#"&amp;P1059&amp;"")</f>
        <v>#Invalid Syntax</v>
      </c>
      <c r="E1059" s="216">
        <f>SUMIFS('Investment Analysis'!$H$22:$H$69,'Investment Analysis'!$E$22:$E$69,"USG Investment Pool - Not LGIP",'Investment Analysis'!$AB$22:$AB$69,"1")</f>
        <v>0</v>
      </c>
      <c r="F1059" s="217" t="s">
        <v>674</v>
      </c>
      <c r="G1059" s="217" t="str">
        <f t="shared" si="358"/>
        <v xml:space="preserve">Inv. Analysis - Credit Quality Risk - USG Investment Pool - Not LGIP   </v>
      </c>
      <c r="H1059" s="218" t="e">
        <f t="shared" si="359"/>
        <v>#N/A</v>
      </c>
      <c r="I1059" s="218" t="str">
        <f t="shared" si="359"/>
        <v>Jun</v>
      </c>
      <c r="J1059" s="217" t="str">
        <f t="shared" si="359"/>
        <v>FY25</v>
      </c>
      <c r="K1059" s="217" t="str">
        <f t="shared" si="359"/>
        <v>FCCS_Other Data</v>
      </c>
      <c r="L1059" s="217" t="str">
        <f t="shared" si="359"/>
        <v>FCCS_No Intercompany</v>
      </c>
      <c r="M1059" s="217" t="str">
        <f t="shared" si="360"/>
        <v>No Custom1</v>
      </c>
      <c r="N1059" s="217" t="str">
        <f t="shared" si="359"/>
        <v>No Custom2</v>
      </c>
      <c r="O1059" s="217" t="s">
        <v>64</v>
      </c>
      <c r="P1059" s="217" t="s">
        <v>882</v>
      </c>
      <c r="Q1059" s="217" t="str">
        <f t="shared" si="361"/>
        <v>FCCS_ClosingBalance_Input</v>
      </c>
      <c r="R1059" s="217" t="str">
        <f t="shared" si="362"/>
        <v>Actual</v>
      </c>
      <c r="S1059" s="217" t="str">
        <f t="shared" si="362"/>
        <v>FCCS_YTD_Input</v>
      </c>
      <c r="T1059" s="217" t="s">
        <v>850</v>
      </c>
    </row>
    <row r="1060" spans="2:20" x14ac:dyDescent="0.3">
      <c r="B1060" s="214" t="s">
        <v>667</v>
      </c>
      <c r="C1060" s="214" t="s">
        <v>888</v>
      </c>
      <c r="D1060" s="216" t="str">
        <f>[2]!HsSetValue(E1060,"FCC","Scenario#"&amp;R1060&amp;";Years#"&amp;J1060&amp;";Period#"&amp;I1060&amp;";View#"&amp;S1060&amp;";Entity#"&amp;H1060&amp;";Data Source#"&amp;K1060&amp;";Account#"&amp;F1060&amp;";Intercompany#"&amp;L1060&amp;";Movement#"&amp;Q1060&amp;";Consolidation#"&amp;T1060&amp;";Custom1#"&amp;M1060&amp;";Custom2#"&amp;N1060&amp;";Custom3#"&amp;O1060&amp;";Custom4#"&amp;P1060&amp;"")</f>
        <v>#Invalid Syntax</v>
      </c>
      <c r="E1060" s="216">
        <f>SUMIFS('Investment Analysis'!$H$22:$H$69,'Investment Analysis'!$E$22:$E$69,"USG Investment Pool - Not LGIP",'Investment Analysis'!$AI$22:$AI$69,"16")</f>
        <v>0</v>
      </c>
      <c r="F1060" s="217" t="s">
        <v>674</v>
      </c>
      <c r="G1060" s="217" t="str">
        <f t="shared" si="358"/>
        <v xml:space="preserve">Inv. Analysis - Credit Quality Risk - USG Investment Pool - Not LGIP   </v>
      </c>
      <c r="H1060" s="218" t="e">
        <f t="shared" si="359"/>
        <v>#N/A</v>
      </c>
      <c r="I1060" s="218" t="str">
        <f t="shared" si="359"/>
        <v>Jun</v>
      </c>
      <c r="J1060" s="217" t="str">
        <f t="shared" si="359"/>
        <v>FY25</v>
      </c>
      <c r="K1060" s="217" t="str">
        <f t="shared" si="359"/>
        <v>FCCS_Other Data</v>
      </c>
      <c r="L1060" s="217" t="str">
        <f t="shared" si="359"/>
        <v>FCCS_No Intercompany</v>
      </c>
      <c r="M1060" s="217" t="str">
        <f t="shared" si="360"/>
        <v>No Custom1</v>
      </c>
      <c r="N1060" s="217" t="str">
        <f t="shared" si="359"/>
        <v>No Custom2</v>
      </c>
      <c r="O1060" s="217" t="s">
        <v>726</v>
      </c>
      <c r="P1060" s="217" t="s">
        <v>882</v>
      </c>
      <c r="Q1060" s="217" t="str">
        <f t="shared" si="361"/>
        <v>FCCS_ClosingBalance_Input</v>
      </c>
      <c r="R1060" s="217" t="str">
        <f t="shared" si="362"/>
        <v>Actual</v>
      </c>
      <c r="S1060" s="217" t="str">
        <f t="shared" si="362"/>
        <v>FCCS_YTD_Input</v>
      </c>
      <c r="T1060" s="217" t="s">
        <v>850</v>
      </c>
    </row>
    <row r="1061" spans="2:20" x14ac:dyDescent="0.3">
      <c r="B1061" s="214" t="s">
        <v>667</v>
      </c>
      <c r="C1061" s="214" t="s">
        <v>888</v>
      </c>
      <c r="D1061" s="216" t="str">
        <f>[2]!HsSetValue(E1061,"FCC","Scenario#"&amp;R1061&amp;";Years#"&amp;J1061&amp;";Period#"&amp;I1061&amp;";View#"&amp;S1061&amp;";Entity#"&amp;H1061&amp;";Data Source#"&amp;K1061&amp;";Account#"&amp;F1061&amp;";Intercompany#"&amp;L1061&amp;";Movement#"&amp;Q1061&amp;";Consolidation#"&amp;T1061&amp;";Custom1#"&amp;M1061&amp;";Custom2#"&amp;N1061&amp;";Custom3#"&amp;O1061&amp;";Custom4#"&amp;P1061&amp;"")</f>
        <v>#Invalid Syntax</v>
      </c>
      <c r="E1061" s="216">
        <f>SUMIFS('Investment Analysis'!$H$22:$H$69,'Investment Analysis'!$E$22:$E$69,"USG Investment Pool - Not LGIP",'Investment Analysis'!$AI$22:$AI$69,"15")</f>
        <v>0</v>
      </c>
      <c r="F1061" s="217" t="s">
        <v>674</v>
      </c>
      <c r="G1061" s="217" t="str">
        <f t="shared" si="358"/>
        <v xml:space="preserve">Inv. Analysis - Credit Quality Risk - USG Investment Pool - Not LGIP   </v>
      </c>
      <c r="H1061" s="218" t="e">
        <f t="shared" si="359"/>
        <v>#N/A</v>
      </c>
      <c r="I1061" s="218" t="str">
        <f t="shared" si="359"/>
        <v>Jun</v>
      </c>
      <c r="J1061" s="217" t="str">
        <f t="shared" si="359"/>
        <v>FY25</v>
      </c>
      <c r="K1061" s="217" t="str">
        <f t="shared" si="359"/>
        <v>FCCS_Other Data</v>
      </c>
      <c r="L1061" s="217" t="str">
        <f t="shared" si="359"/>
        <v>FCCS_No Intercompany</v>
      </c>
      <c r="M1061" s="217" t="str">
        <f t="shared" si="360"/>
        <v>No Custom1</v>
      </c>
      <c r="N1061" s="217" t="str">
        <f t="shared" si="359"/>
        <v>No Custom2</v>
      </c>
      <c r="O1061" s="217" t="s">
        <v>727</v>
      </c>
      <c r="P1061" s="217" t="s">
        <v>882</v>
      </c>
      <c r="Q1061" s="217" t="str">
        <f t="shared" si="361"/>
        <v>FCCS_ClosingBalance_Input</v>
      </c>
      <c r="R1061" s="217" t="str">
        <f t="shared" si="362"/>
        <v>Actual</v>
      </c>
      <c r="S1061" s="217" t="str">
        <f t="shared" si="362"/>
        <v>FCCS_YTD_Input</v>
      </c>
      <c r="T1061" s="217" t="s">
        <v>850</v>
      </c>
    </row>
    <row r="1062" spans="2:20" x14ac:dyDescent="0.3">
      <c r="B1062" s="214" t="s">
        <v>667</v>
      </c>
      <c r="C1062" s="214" t="s">
        <v>888</v>
      </c>
      <c r="D1062" s="216" t="str">
        <f>[2]!HsSetValue(E1062,"FCC","Scenario#"&amp;R1062&amp;";Years#"&amp;J1062&amp;";Period#"&amp;I1062&amp;";View#"&amp;S1062&amp;";Entity#"&amp;H1062&amp;";Data Source#"&amp;K1062&amp;";Account#"&amp;F1062&amp;";Intercompany#"&amp;L1062&amp;";Movement#"&amp;Q1062&amp;";Consolidation#"&amp;T1062&amp;";Custom1#"&amp;M1062&amp;";Custom2#"&amp;N1062&amp;";Custom3#"&amp;O1062&amp;";Custom4#"&amp;P1062&amp;"")</f>
        <v>#Invalid Syntax</v>
      </c>
      <c r="E1062" s="216">
        <f>SUMIFS('Investment Analysis'!$H$22:$H$69,'Investment Analysis'!$E$22:$E$69,"USG Investment Pool - Not LGIP",'Investment Analysis'!$AI$22:$AI$69,"14")</f>
        <v>0</v>
      </c>
      <c r="F1062" s="217" t="s">
        <v>674</v>
      </c>
      <c r="G1062" s="217" t="str">
        <f t="shared" si="358"/>
        <v xml:space="preserve">Inv. Analysis - Credit Quality Risk - USG Investment Pool - Not LGIP   </v>
      </c>
      <c r="H1062" s="218" t="e">
        <f t="shared" si="359"/>
        <v>#N/A</v>
      </c>
      <c r="I1062" s="218" t="str">
        <f t="shared" si="359"/>
        <v>Jun</v>
      </c>
      <c r="J1062" s="217" t="str">
        <f t="shared" si="359"/>
        <v>FY25</v>
      </c>
      <c r="K1062" s="217" t="str">
        <f t="shared" si="359"/>
        <v>FCCS_Other Data</v>
      </c>
      <c r="L1062" s="217" t="str">
        <f t="shared" si="359"/>
        <v>FCCS_No Intercompany</v>
      </c>
      <c r="M1062" s="217" t="str">
        <f t="shared" si="360"/>
        <v>No Custom1</v>
      </c>
      <c r="N1062" s="217" t="str">
        <f t="shared" si="359"/>
        <v>No Custom2</v>
      </c>
      <c r="O1062" s="217" t="s">
        <v>728</v>
      </c>
      <c r="P1062" s="217" t="s">
        <v>882</v>
      </c>
      <c r="Q1062" s="217" t="str">
        <f t="shared" si="361"/>
        <v>FCCS_ClosingBalance_Input</v>
      </c>
      <c r="R1062" s="217" t="str">
        <f t="shared" si="362"/>
        <v>Actual</v>
      </c>
      <c r="S1062" s="217" t="str">
        <f t="shared" si="362"/>
        <v>FCCS_YTD_Input</v>
      </c>
      <c r="T1062" s="217" t="s">
        <v>850</v>
      </c>
    </row>
    <row r="1063" spans="2:20" x14ac:dyDescent="0.3">
      <c r="B1063" s="214" t="s">
        <v>667</v>
      </c>
      <c r="C1063" s="214" t="s">
        <v>888</v>
      </c>
      <c r="D1063" s="216" t="str">
        <f>[2]!HsSetValue(E1063,"FCC","Scenario#"&amp;R1063&amp;";Years#"&amp;J1063&amp;";Period#"&amp;I1063&amp;";View#"&amp;S1063&amp;";Entity#"&amp;H1063&amp;";Data Source#"&amp;K1063&amp;";Account#"&amp;F1063&amp;";Intercompany#"&amp;L1063&amp;";Movement#"&amp;Q1063&amp;";Consolidation#"&amp;T1063&amp;";Custom1#"&amp;M1063&amp;";Custom2#"&amp;N1063&amp;";Custom3#"&amp;O1063&amp;";Custom4#"&amp;P1063&amp;"")</f>
        <v>#Invalid Syntax</v>
      </c>
      <c r="E1063" s="216">
        <f>SUMIFS('Investment Analysis'!$H$22:$H$69,'Investment Analysis'!$E$22:$E$69,"USG Investment Pool - Not LGIP",'Investment Analysis'!$AB$22:$AB$69,"0")+SUMIFS('Investment Analysis'!$H$22:$H$69,'Investment Analysis'!$E$22:$E$69,"USG Investment Pool - Not LGIP",'Investment Analysis'!$AI$22:$AI$69,"0")</f>
        <v>0</v>
      </c>
      <c r="F1063" s="217" t="s">
        <v>674</v>
      </c>
      <c r="G1063" s="217" t="str">
        <f t="shared" si="358"/>
        <v xml:space="preserve">Inv. Analysis - Credit Quality Risk - USG Investment Pool - Not LGIP   </v>
      </c>
      <c r="H1063" s="218" t="e">
        <f t="shared" si="359"/>
        <v>#N/A</v>
      </c>
      <c r="I1063" s="218" t="str">
        <f t="shared" si="359"/>
        <v>Jun</v>
      </c>
      <c r="J1063" s="217" t="str">
        <f t="shared" si="359"/>
        <v>FY25</v>
      </c>
      <c r="K1063" s="217" t="str">
        <f t="shared" si="359"/>
        <v>FCCS_Other Data</v>
      </c>
      <c r="L1063" s="217" t="str">
        <f t="shared" si="359"/>
        <v>FCCS_No Intercompany</v>
      </c>
      <c r="M1063" s="217" t="str">
        <f t="shared" si="360"/>
        <v>No Custom1</v>
      </c>
      <c r="N1063" s="217" t="str">
        <f t="shared" si="359"/>
        <v>No Custom2</v>
      </c>
      <c r="O1063" s="217" t="s">
        <v>609</v>
      </c>
      <c r="P1063" s="217" t="s">
        <v>882</v>
      </c>
      <c r="Q1063" s="217" t="str">
        <f t="shared" si="361"/>
        <v>FCCS_ClosingBalance_Input</v>
      </c>
      <c r="R1063" s="217" t="str">
        <f t="shared" si="362"/>
        <v>Actual</v>
      </c>
      <c r="S1063" s="217" t="str">
        <f t="shared" si="362"/>
        <v>FCCS_YTD_Input</v>
      </c>
      <c r="T1063" s="217" t="s">
        <v>850</v>
      </c>
    </row>
    <row r="1064" spans="2:20" x14ac:dyDescent="0.3">
      <c r="B1064" s="210"/>
      <c r="C1064" s="210"/>
      <c r="D1064" s="212"/>
      <c r="E1064" s="212"/>
    </row>
    <row r="1065" spans="2:20" x14ac:dyDescent="0.3">
      <c r="B1065" s="219" t="s">
        <v>1014</v>
      </c>
      <c r="C1065" s="219" t="s">
        <v>888</v>
      </c>
      <c r="D1065" s="221" t="str">
        <f>[2]!HsSetValue(E1065,"FCC","Scenario#"&amp;R1065&amp;";Years#"&amp;J1065&amp;";Period#"&amp;I1065&amp;";View#"&amp;S1065&amp;";Entity#"&amp;H1065&amp;";Data Source#"&amp;K1065&amp;";Account#"&amp;F1065&amp;";Intercompany#"&amp;L1065&amp;";Movement#"&amp;Q1065&amp;";Consolidation#"&amp;T1065&amp;";Custom1#"&amp;M1065&amp;";Custom2#"&amp;N1065&amp;";Custom3#"&amp;O1065&amp;";Custom4#"&amp;P1065&amp;"")</f>
        <v>#Invalid Syntax</v>
      </c>
      <c r="E1065" s="221">
        <f>SUMIFS('Investment Analysis'!$H$22:$H$69,'Investment Analysis'!$E$22:$E$69,"USG Investment Pool - Not LGIP",'Investment Analysis'!$AK$22:$AK$69,"21")</f>
        <v>0</v>
      </c>
      <c r="F1065" s="222" t="s">
        <v>675</v>
      </c>
      <c r="G1065" s="222" t="str">
        <f>"Inv. Analysis -  FV Measurement - "&amp;C1065</f>
        <v xml:space="preserve">Inv. Analysis -  FV Measurement - USG Investment Pool - Not LGIP   </v>
      </c>
      <c r="H1065" s="223" t="e">
        <f>+H$2</f>
        <v>#N/A</v>
      </c>
      <c r="I1065" s="223" t="str">
        <f t="shared" ref="I1065:I1069" si="363">+I$2</f>
        <v>Jun</v>
      </c>
      <c r="J1065" s="222" t="str">
        <f>+J$2</f>
        <v>FY25</v>
      </c>
      <c r="K1065" s="222" t="s">
        <v>843</v>
      </c>
      <c r="L1065" s="222" t="s">
        <v>844</v>
      </c>
      <c r="M1065" s="222" t="s">
        <v>845</v>
      </c>
      <c r="N1065" s="222" t="s">
        <v>846</v>
      </c>
      <c r="O1065" s="222" t="s">
        <v>729</v>
      </c>
      <c r="P1065" s="222" t="s">
        <v>882</v>
      </c>
      <c r="Q1065" s="222" t="str">
        <f t="shared" ref="Q1065:Q1069" si="364">Q$2</f>
        <v>FCCS_ClosingBalance_Input</v>
      </c>
      <c r="R1065" s="222" t="s">
        <v>169</v>
      </c>
      <c r="S1065" s="222" t="s">
        <v>848</v>
      </c>
      <c r="T1065" s="222" t="s">
        <v>850</v>
      </c>
    </row>
    <row r="1066" spans="2:20" x14ac:dyDescent="0.3">
      <c r="B1066" s="219" t="s">
        <v>1014</v>
      </c>
      <c r="C1066" s="219" t="s">
        <v>888</v>
      </c>
      <c r="D1066" s="221" t="str">
        <f>[2]!HsSetValue(E1066,"FCC","Scenario#"&amp;R1066&amp;";Years#"&amp;J1066&amp;";Period#"&amp;I1066&amp;";View#"&amp;S1066&amp;";Entity#"&amp;H1066&amp;";Data Source#"&amp;K1066&amp;";Account#"&amp;F1066&amp;";Intercompany#"&amp;L1066&amp;";Movement#"&amp;Q1066&amp;";Consolidation#"&amp;T1066&amp;";Custom1#"&amp;M1066&amp;";Custom2#"&amp;N1066&amp;";Custom3#"&amp;O1066&amp;";Custom4#"&amp;P1066&amp;"")</f>
        <v>#Invalid Syntax</v>
      </c>
      <c r="E1066" s="221">
        <f>SUMIFS('Investment Analysis'!$H$22:$H$69,'Investment Analysis'!$E$22:$E$69,"USG Investment Pool - Not LGIP",'Investment Analysis'!$AK$22:$AK$69,"22")</f>
        <v>0</v>
      </c>
      <c r="F1066" s="222" t="s">
        <v>675</v>
      </c>
      <c r="G1066" s="222" t="str">
        <f>"Inv. Analysis -  FV Measurement - "&amp;C1066</f>
        <v xml:space="preserve">Inv. Analysis -  FV Measurement - USG Investment Pool - Not LGIP   </v>
      </c>
      <c r="H1066" s="223" t="e">
        <f>+H$2</f>
        <v>#N/A</v>
      </c>
      <c r="I1066" s="223" t="str">
        <f t="shared" si="363"/>
        <v>Jun</v>
      </c>
      <c r="J1066" s="222" t="str">
        <f>+J$2</f>
        <v>FY25</v>
      </c>
      <c r="K1066" s="222" t="str">
        <f t="shared" ref="K1066:N1069" si="365">+K$2</f>
        <v>FCCS_Other Data</v>
      </c>
      <c r="L1066" s="222" t="str">
        <f t="shared" si="365"/>
        <v>FCCS_No Intercompany</v>
      </c>
      <c r="M1066" s="222" t="str">
        <f>+M$1</f>
        <v>No Custom1</v>
      </c>
      <c r="N1066" s="222" t="str">
        <f t="shared" si="365"/>
        <v>No Custom2</v>
      </c>
      <c r="O1066" s="222" t="s">
        <v>730</v>
      </c>
      <c r="P1066" s="222" t="s">
        <v>882</v>
      </c>
      <c r="Q1066" s="222" t="str">
        <f t="shared" si="364"/>
        <v>FCCS_ClosingBalance_Input</v>
      </c>
      <c r="R1066" s="222" t="str">
        <f t="shared" ref="R1066:S1069" si="366">+R$2</f>
        <v>Actual</v>
      </c>
      <c r="S1066" s="222" t="str">
        <f t="shared" si="366"/>
        <v>FCCS_YTD_Input</v>
      </c>
      <c r="T1066" s="222" t="s">
        <v>850</v>
      </c>
    </row>
    <row r="1067" spans="2:20" x14ac:dyDescent="0.3">
      <c r="B1067" s="219" t="s">
        <v>1014</v>
      </c>
      <c r="C1067" s="219" t="s">
        <v>888</v>
      </c>
      <c r="D1067" s="221" t="str">
        <f>[2]!HsSetValue(E1067,"FCC","Scenario#"&amp;R1067&amp;";Years#"&amp;J1067&amp;";Period#"&amp;I1067&amp;";View#"&amp;S1067&amp;";Entity#"&amp;H1067&amp;";Data Source#"&amp;K1067&amp;";Account#"&amp;F1067&amp;";Intercompany#"&amp;L1067&amp;";Movement#"&amp;Q1067&amp;";Consolidation#"&amp;T1067&amp;";Custom1#"&amp;M1067&amp;";Custom2#"&amp;N1067&amp;";Custom3#"&amp;O1067&amp;";Custom4#"&amp;P1067&amp;"")</f>
        <v>#Invalid Syntax</v>
      </c>
      <c r="E1067" s="221">
        <f>SUMIFS('Investment Analysis'!$H$22:$H$69,'Investment Analysis'!$E$22:$E$69,"USG Investment Pool - Not LGIP",'Investment Analysis'!$AK$22:$AK$69,"23")</f>
        <v>0</v>
      </c>
      <c r="F1067" s="222" t="s">
        <v>675</v>
      </c>
      <c r="G1067" s="222" t="str">
        <f>"Inv. Analysis -  FV Measurement - "&amp;C1067</f>
        <v xml:space="preserve">Inv. Analysis -  FV Measurement - USG Investment Pool - Not LGIP   </v>
      </c>
      <c r="H1067" s="223" t="e">
        <f>+H$2</f>
        <v>#N/A</v>
      </c>
      <c r="I1067" s="223" t="str">
        <f t="shared" si="363"/>
        <v>Jun</v>
      </c>
      <c r="J1067" s="222" t="str">
        <f>+J$2</f>
        <v>FY25</v>
      </c>
      <c r="K1067" s="222" t="str">
        <f t="shared" si="365"/>
        <v>FCCS_Other Data</v>
      </c>
      <c r="L1067" s="222" t="str">
        <f t="shared" si="365"/>
        <v>FCCS_No Intercompany</v>
      </c>
      <c r="M1067" s="222" t="str">
        <f>+M$1</f>
        <v>No Custom1</v>
      </c>
      <c r="N1067" s="222" t="str">
        <f t="shared" si="365"/>
        <v>No Custom2</v>
      </c>
      <c r="O1067" s="222" t="s">
        <v>731</v>
      </c>
      <c r="P1067" s="222" t="s">
        <v>882</v>
      </c>
      <c r="Q1067" s="222" t="str">
        <f t="shared" si="364"/>
        <v>FCCS_ClosingBalance_Input</v>
      </c>
      <c r="R1067" s="222" t="str">
        <f t="shared" si="366"/>
        <v>Actual</v>
      </c>
      <c r="S1067" s="222" t="str">
        <f t="shared" si="366"/>
        <v>FCCS_YTD_Input</v>
      </c>
      <c r="T1067" s="222" t="s">
        <v>850</v>
      </c>
    </row>
    <row r="1068" spans="2:20" x14ac:dyDescent="0.3">
      <c r="B1068" s="219" t="s">
        <v>1014</v>
      </c>
      <c r="C1068" s="219" t="s">
        <v>888</v>
      </c>
      <c r="D1068" s="221" t="str">
        <f>[2]!HsSetValue(E1068,"FCC","Scenario#"&amp;R1068&amp;";Years#"&amp;J1068&amp;";Period#"&amp;I1068&amp;";View#"&amp;S1068&amp;";Entity#"&amp;H1068&amp;";Data Source#"&amp;K1068&amp;";Account#"&amp;F1068&amp;";Intercompany#"&amp;L1068&amp;";Movement#"&amp;Q1068&amp;";Consolidation#"&amp;T1068&amp;";Custom1#"&amp;M1068&amp;";Custom2#"&amp;N1068&amp;";Custom3#"&amp;O1068&amp;";Custom4#"&amp;P1068&amp;"")</f>
        <v>#Invalid Syntax</v>
      </c>
      <c r="E1068" s="221">
        <f>SUMIFS('Investment Analysis'!$H$22:$H$69,'Investment Analysis'!$E$22:$E$69,"USG Investment Pool - Not LGIP",'Investment Analysis'!$AK$22:$AK$69,"24")</f>
        <v>0</v>
      </c>
      <c r="F1068" s="222" t="s">
        <v>675</v>
      </c>
      <c r="G1068" s="222" t="str">
        <f>"Inv. Analysis -  FV Measurement - "&amp;C1068</f>
        <v xml:space="preserve">Inv. Analysis -  FV Measurement - USG Investment Pool - Not LGIP   </v>
      </c>
      <c r="H1068" s="223" t="e">
        <f>+H$2</f>
        <v>#N/A</v>
      </c>
      <c r="I1068" s="223" t="str">
        <f t="shared" si="363"/>
        <v>Jun</v>
      </c>
      <c r="J1068" s="222" t="str">
        <f>+J$2</f>
        <v>FY25</v>
      </c>
      <c r="K1068" s="222" t="str">
        <f t="shared" si="365"/>
        <v>FCCS_Other Data</v>
      </c>
      <c r="L1068" s="222" t="str">
        <f t="shared" si="365"/>
        <v>FCCS_No Intercompany</v>
      </c>
      <c r="M1068" s="222" t="str">
        <f>+M$1</f>
        <v>No Custom1</v>
      </c>
      <c r="N1068" s="222" t="str">
        <f t="shared" si="365"/>
        <v>No Custom2</v>
      </c>
      <c r="O1068" s="222" t="s">
        <v>732</v>
      </c>
      <c r="P1068" s="222" t="s">
        <v>882</v>
      </c>
      <c r="Q1068" s="222" t="str">
        <f t="shared" si="364"/>
        <v>FCCS_ClosingBalance_Input</v>
      </c>
      <c r="R1068" s="222" t="str">
        <f t="shared" si="366"/>
        <v>Actual</v>
      </c>
      <c r="S1068" s="222" t="str">
        <f t="shared" si="366"/>
        <v>FCCS_YTD_Input</v>
      </c>
      <c r="T1068" s="222" t="s">
        <v>850</v>
      </c>
    </row>
    <row r="1069" spans="2:20" x14ac:dyDescent="0.3">
      <c r="B1069" s="219" t="s">
        <v>1014</v>
      </c>
      <c r="C1069" s="219" t="s">
        <v>888</v>
      </c>
      <c r="D1069" s="221" t="str">
        <f>[2]!HsSetValue(E1069,"FCC","Scenario#"&amp;R1069&amp;";Years#"&amp;J1069&amp;";Period#"&amp;I1069&amp;";View#"&amp;S1069&amp;";Entity#"&amp;H1069&amp;";Data Source#"&amp;K1069&amp;";Account#"&amp;F1069&amp;";Intercompany#"&amp;L1069&amp;";Movement#"&amp;Q1069&amp;";Consolidation#"&amp;T1069&amp;";Custom1#"&amp;M1069&amp;";Custom2#"&amp;N1069&amp;";Custom3#"&amp;O1069&amp;";Custom4#"&amp;P1069&amp;"")</f>
        <v>#Invalid Syntax</v>
      </c>
      <c r="E1069" s="221">
        <f>SUMIFS('Investment Analysis'!$H$22:$H$69,'Investment Analysis'!$E$22:$E$69,"USG Investment Pool - Not LGIP",'Investment Analysis'!$AK$22:$AK$69,"25")</f>
        <v>0</v>
      </c>
      <c r="F1069" s="222" t="s">
        <v>675</v>
      </c>
      <c r="G1069" s="222" t="str">
        <f>"Inv. Analysis -  FV Measurement - "&amp;C1069</f>
        <v xml:space="preserve">Inv. Analysis -  FV Measurement - USG Investment Pool - Not LGIP   </v>
      </c>
      <c r="H1069" s="223" t="e">
        <f>+H$2</f>
        <v>#N/A</v>
      </c>
      <c r="I1069" s="223" t="str">
        <f t="shared" si="363"/>
        <v>Jun</v>
      </c>
      <c r="J1069" s="222" t="str">
        <f>+J$2</f>
        <v>FY25</v>
      </c>
      <c r="K1069" s="222" t="str">
        <f t="shared" si="365"/>
        <v>FCCS_Other Data</v>
      </c>
      <c r="L1069" s="222" t="str">
        <f t="shared" si="365"/>
        <v>FCCS_No Intercompany</v>
      </c>
      <c r="M1069" s="222" t="str">
        <f>+M$1</f>
        <v>No Custom1</v>
      </c>
      <c r="N1069" s="222" t="str">
        <f t="shared" si="365"/>
        <v>No Custom2</v>
      </c>
      <c r="O1069" s="222" t="s">
        <v>733</v>
      </c>
      <c r="P1069" s="222" t="s">
        <v>882</v>
      </c>
      <c r="Q1069" s="222" t="str">
        <f t="shared" si="364"/>
        <v>FCCS_ClosingBalance_Input</v>
      </c>
      <c r="R1069" s="222" t="str">
        <f t="shared" si="366"/>
        <v>Actual</v>
      </c>
      <c r="S1069" s="222" t="str">
        <f t="shared" si="366"/>
        <v>FCCS_YTD_Input</v>
      </c>
      <c r="T1069" s="222" t="s">
        <v>850</v>
      </c>
    </row>
  </sheetData>
  <sheetProtection algorithmName="SHA-512" hashValue="1skyloJmGPhfuDGP5+yVkfDj2wFn3wjiDNCwGG5JVpOosDwWuEbTA3c6wrIMAVYo27vXqM/FIHTZJXHdcIPYww==" saltValue="kne+bCJ4aCwjpxoLSsfbsw==" spinCount="100000" sheet="1" objects="1" scenarios="1"/>
  <autoFilter ref="B1:AB1192" xr:uid="{5D6F573E-5E8C-4B03-8CFD-7475D948A168}"/>
  <conditionalFormatting sqref="B449:C449 B719:C719">
    <cfRule type="expression" priority="2226">
      <formula>CELL("protect", INDIRECT(ADDRESS(ROW(),COLUMN())))=1</formula>
    </cfRule>
  </conditionalFormatting>
  <conditionalFormatting sqref="B16:D18 F16:L18 B26:D27 U41:XFD109 U223:XFD244 U250:XFD271 U277:XFD298 U304:XFD325 U331:XFD352 U358:XFD379 U520:XFD541 U601:XFD622 U628:XFD649 U898:XFD919 U925:XFD946 U952:XFD973 U979:XFD1000">
    <cfRule type="expression" priority="2227">
      <formula>CELL("protect", INDIRECT(ADDRESS(ROW(),COLUMN())))=1</formula>
    </cfRule>
  </conditionalFormatting>
  <conditionalFormatting sqref="B1:G39">
    <cfRule type="expression" priority="21">
      <formula>CELL("protect", INDIRECT(ADDRESS(ROW(),COLUMN())))=1</formula>
    </cfRule>
  </conditionalFormatting>
  <conditionalFormatting sqref="B41:T1048576">
    <cfRule type="expression" priority="1">
      <formula>CELL("protect", INDIRECT(ADDRESS(ROW(),COLUMN())))=1</formula>
    </cfRule>
  </conditionalFormatting>
  <conditionalFormatting sqref="F26:O28">
    <cfRule type="expression" priority="878">
      <formula>CELL("protect", INDIRECT(ADDRESS(ROW(),COLUMN())))=1</formula>
    </cfRule>
  </conditionalFormatting>
  <conditionalFormatting sqref="H1:H36">
    <cfRule type="expression" priority="868">
      <formula>CELL("protect", INDIRECT(ADDRESS(ROW(),COLUMN())))=1</formula>
    </cfRule>
  </conditionalFormatting>
  <conditionalFormatting sqref="H37:I39">
    <cfRule type="expression" priority="863">
      <formula>CELL("protect", INDIRECT(ADDRESS(ROW(),COLUMN())))=1</formula>
    </cfRule>
  </conditionalFormatting>
  <conditionalFormatting sqref="I2:I36">
    <cfRule type="expression" priority="866">
      <formula>CELL("protect", INDIRECT(ADDRESS(ROW(),COLUMN())))=1</formula>
    </cfRule>
  </conditionalFormatting>
  <conditionalFormatting sqref="I1:L1">
    <cfRule type="expression" priority="1156">
      <formula>CELL("protect", INDIRECT(ADDRESS(ROW(),COLUMN())))=1</formula>
    </cfRule>
  </conditionalFormatting>
  <conditionalFormatting sqref="J2:L20">
    <cfRule type="expression" priority="895">
      <formula>CELL("protect", INDIRECT(ADDRESS(ROW(),COLUMN())))=1</formula>
    </cfRule>
  </conditionalFormatting>
  <conditionalFormatting sqref="J21:O39">
    <cfRule type="expression" priority="864">
      <formula>CELL("protect", INDIRECT(ADDRESS(ROW(),COLUMN())))=1</formula>
    </cfRule>
  </conditionalFormatting>
  <conditionalFormatting sqref="M1:O20">
    <cfRule type="expression" priority="888">
      <formula>CELL("protect", INDIRECT(ADDRESS(ROW(),COLUMN())))=1</formula>
    </cfRule>
  </conditionalFormatting>
  <conditionalFormatting sqref="P1:XFD39">
    <cfRule type="expression" priority="128">
      <formula>CELL("protect", INDIRECT(ADDRESS(ROW(),COLUMN())))=1</formula>
    </cfRule>
  </conditionalFormatting>
  <conditionalFormatting sqref="R449:S449 R476:S476 R719:S719">
    <cfRule type="expression" priority="2225">
      <formula>CELL("protect", INDIRECT(ADDRESS(ROW(),COLUMN())))=1</formula>
    </cfRule>
  </conditionalFormatting>
  <conditionalFormatting sqref="U115:XFD136 U142:XFD163">
    <cfRule type="expression" priority="861">
      <formula>CELL("protect", INDIRECT(ADDRESS(ROW(),COLUMN())))=1</formula>
    </cfRule>
  </conditionalFormatting>
  <conditionalFormatting sqref="U169:XFD190 U196:XFD217">
    <cfRule type="expression" priority="818">
      <formula>CELL("protect", INDIRECT(ADDRESS(ROW(),COLUMN())))=1</formula>
    </cfRule>
  </conditionalFormatting>
  <conditionalFormatting sqref="U385:XFD406 U412:XFD514">
    <cfRule type="expression" priority="770">
      <formula>CELL("protect", INDIRECT(ADDRESS(ROW(),COLUMN())))=1</formula>
    </cfRule>
  </conditionalFormatting>
  <conditionalFormatting sqref="U547:XFD568 U574:XFD595">
    <cfRule type="expression" priority="726">
      <formula>CELL("protect", INDIRECT(ADDRESS(ROW(),COLUMN())))=1</formula>
    </cfRule>
  </conditionalFormatting>
  <conditionalFormatting sqref="U655:XFD676">
    <cfRule type="expression" priority="682">
      <formula>CELL("protect", INDIRECT(ADDRESS(ROW(),COLUMN())))=1</formula>
    </cfRule>
  </conditionalFormatting>
  <conditionalFormatting sqref="U682:XFD757 U763:XFD784">
    <cfRule type="expression" priority="639">
      <formula>CELL("protect", INDIRECT(ADDRESS(ROW(),COLUMN())))=1</formula>
    </cfRule>
  </conditionalFormatting>
  <conditionalFormatting sqref="U790:XFD811 U817:XFD838">
    <cfRule type="expression" priority="597">
      <formula>CELL("protect", INDIRECT(ADDRESS(ROW(),COLUMN())))=1</formula>
    </cfRule>
  </conditionalFormatting>
  <conditionalFormatting sqref="U844:XFD865 U871:XFD892">
    <cfRule type="expression" priority="555">
      <formula>CELL("protect", INDIRECT(ADDRESS(ROW(),COLUMN())))=1</formula>
    </cfRule>
  </conditionalFormatting>
  <conditionalFormatting sqref="U1006:XFD1027">
    <cfRule type="expression" priority="513">
      <formula>CELL("protect", INDIRECT(ADDRESS(ROW(),COLUMN())))=1</formula>
    </cfRule>
  </conditionalFormatting>
  <conditionalFormatting sqref="U1033:XFD1054 U1060:XFD1048576">
    <cfRule type="expression" priority="476">
      <formula>CELL("protect", INDIRECT(ADDRESS(ROW(),COLUMN())))=1</formula>
    </cfRule>
  </conditionalFormatting>
  <pageMargins left="0.7" right="0.7" top="0.75" bottom="0.75" header="0.3" footer="0.3"/>
  <pageSetup orientation="portrait" horizontalDpi="1200" verticalDpi="1200" r:id="rId1"/>
  <customProperties>
    <customPr name="SheetOptions"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26E3-1A37-4D6B-97DD-F15446AE29B6}">
  <sheetPr>
    <tabColor theme="5" tint="0.39997558519241921"/>
  </sheetPr>
  <dimension ref="A2:P201"/>
  <sheetViews>
    <sheetView workbookViewId="0">
      <selection activeCell="E211" sqref="E211"/>
    </sheetView>
  </sheetViews>
  <sheetFormatPr defaultRowHeight="13.2" x14ac:dyDescent="0.25"/>
  <cols>
    <col min="1" max="1" width="12.77734375" customWidth="1"/>
    <col min="2" max="3" width="4.5546875" customWidth="1"/>
    <col min="4" max="4" width="33.5546875" customWidth="1"/>
    <col min="5" max="6" width="35.5546875" customWidth="1"/>
    <col min="7" max="7" width="12.5546875" customWidth="1"/>
    <col min="8" max="8" width="3.44140625" customWidth="1"/>
    <col min="9" max="9" width="28.21875" customWidth="1"/>
    <col min="10" max="10" width="12.21875" customWidth="1"/>
    <col min="11" max="11" width="18.5546875" customWidth="1"/>
    <col min="12" max="12" width="2" customWidth="1"/>
    <col min="13" max="13" width="27.5546875" customWidth="1"/>
  </cols>
  <sheetData>
    <row r="2" spans="1:13" x14ac:dyDescent="0.25">
      <c r="I2" s="88" t="s">
        <v>790</v>
      </c>
    </row>
    <row r="3" spans="1:13" x14ac:dyDescent="0.25">
      <c r="A3" s="411" t="s">
        <v>855</v>
      </c>
    </row>
    <row r="4" spans="1:13" ht="14.4" x14ac:dyDescent="0.3">
      <c r="A4" s="233" t="s">
        <v>740</v>
      </c>
      <c r="B4" s="233"/>
      <c r="C4" s="233" t="s">
        <v>741</v>
      </c>
      <c r="D4" s="233"/>
      <c r="E4" s="234" t="s">
        <v>742</v>
      </c>
      <c r="F4" s="234"/>
      <c r="I4" s="190" t="s">
        <v>785</v>
      </c>
      <c r="J4" s="190" t="s">
        <v>786</v>
      </c>
      <c r="K4" s="190" t="s">
        <v>787</v>
      </c>
      <c r="L4" s="191"/>
      <c r="M4" s="192" t="s">
        <v>554</v>
      </c>
    </row>
    <row r="5" spans="1:13" ht="14.4" x14ac:dyDescent="0.3">
      <c r="A5" t="s">
        <v>743</v>
      </c>
      <c r="B5" t="s">
        <v>744</v>
      </c>
      <c r="C5" s="233"/>
      <c r="D5" s="233"/>
      <c r="E5" s="235" t="s">
        <v>745</v>
      </c>
      <c r="F5" s="235">
        <v>0</v>
      </c>
      <c r="G5" t="s">
        <v>746</v>
      </c>
      <c r="I5" t="s">
        <v>788</v>
      </c>
      <c r="J5" s="193"/>
      <c r="K5" s="193"/>
      <c r="L5" s="193"/>
      <c r="M5" s="194"/>
    </row>
    <row r="6" spans="1:13" ht="14.4" x14ac:dyDescent="0.3">
      <c r="A6" t="s">
        <v>743</v>
      </c>
      <c r="C6" t="s">
        <v>747</v>
      </c>
      <c r="E6" s="235" t="s">
        <v>748</v>
      </c>
      <c r="F6" s="235">
        <v>1</v>
      </c>
      <c r="J6" s="237" t="s">
        <v>789</v>
      </c>
      <c r="K6" s="193"/>
      <c r="L6" s="193"/>
      <c r="M6" s="194"/>
    </row>
    <row r="7" spans="1:13" ht="14.4" x14ac:dyDescent="0.3">
      <c r="A7" t="s">
        <v>749</v>
      </c>
      <c r="D7" t="s">
        <v>586</v>
      </c>
      <c r="E7" s="235" t="s">
        <v>737</v>
      </c>
      <c r="F7" s="235">
        <v>1</v>
      </c>
      <c r="J7" s="193"/>
      <c r="K7" s="195" t="s">
        <v>585</v>
      </c>
      <c r="L7" s="193"/>
      <c r="M7" s="196" t="s">
        <v>710</v>
      </c>
    </row>
    <row r="8" spans="1:13" ht="14.4" x14ac:dyDescent="0.3">
      <c r="A8" t="s">
        <v>749</v>
      </c>
      <c r="D8" t="s">
        <v>729</v>
      </c>
      <c r="E8" s="235" t="s">
        <v>750</v>
      </c>
      <c r="F8" s="235">
        <v>1</v>
      </c>
      <c r="J8" s="193"/>
      <c r="K8" s="238" t="s">
        <v>671</v>
      </c>
      <c r="L8" s="193"/>
      <c r="M8" s="183" t="s">
        <v>711</v>
      </c>
    </row>
    <row r="9" spans="1:13" ht="14.4" x14ac:dyDescent="0.3">
      <c r="A9" t="s">
        <v>749</v>
      </c>
      <c r="D9" t="s">
        <v>730</v>
      </c>
      <c r="E9" s="235" t="s">
        <v>751</v>
      </c>
      <c r="F9" s="235">
        <v>1</v>
      </c>
      <c r="J9" s="193"/>
      <c r="K9" s="239" t="s">
        <v>672</v>
      </c>
      <c r="L9" s="193"/>
      <c r="M9" s="184" t="s">
        <v>712</v>
      </c>
    </row>
    <row r="10" spans="1:13" ht="14.4" x14ac:dyDescent="0.3">
      <c r="A10" t="s">
        <v>749</v>
      </c>
      <c r="D10" t="s">
        <v>731</v>
      </c>
      <c r="E10" s="235" t="s">
        <v>752</v>
      </c>
      <c r="F10" s="235">
        <v>1</v>
      </c>
      <c r="J10" s="193"/>
      <c r="K10" s="197" t="s">
        <v>673</v>
      </c>
      <c r="L10" s="193"/>
      <c r="M10" s="197" t="s">
        <v>713</v>
      </c>
    </row>
    <row r="11" spans="1:13" ht="14.4" x14ac:dyDescent="0.3">
      <c r="A11" t="s">
        <v>749</v>
      </c>
      <c r="D11" t="s">
        <v>732</v>
      </c>
      <c r="E11" s="235" t="s">
        <v>753</v>
      </c>
      <c r="F11" s="235">
        <v>1</v>
      </c>
      <c r="J11" s="193"/>
      <c r="K11" s="198" t="s">
        <v>674</v>
      </c>
      <c r="L11" s="193"/>
      <c r="M11" s="198" t="s">
        <v>714</v>
      </c>
    </row>
    <row r="12" spans="1:13" ht="14.4" x14ac:dyDescent="0.3">
      <c r="A12" t="s">
        <v>749</v>
      </c>
      <c r="D12" t="s">
        <v>733</v>
      </c>
      <c r="E12" s="235" t="s">
        <v>754</v>
      </c>
      <c r="F12" s="235">
        <v>1</v>
      </c>
      <c r="J12" s="193"/>
      <c r="K12" s="199" t="s">
        <v>675</v>
      </c>
      <c r="L12" s="193"/>
      <c r="M12" s="199" t="s">
        <v>715</v>
      </c>
    </row>
    <row r="13" spans="1:13" x14ac:dyDescent="0.25">
      <c r="A13" t="s">
        <v>749</v>
      </c>
      <c r="C13" t="s">
        <v>755</v>
      </c>
      <c r="E13" s="235" t="s">
        <v>714</v>
      </c>
      <c r="F13" s="235">
        <v>1</v>
      </c>
    </row>
    <row r="14" spans="1:13" x14ac:dyDescent="0.25">
      <c r="A14" t="s">
        <v>749</v>
      </c>
      <c r="D14" t="s">
        <v>433</v>
      </c>
      <c r="E14" s="235" t="s">
        <v>756</v>
      </c>
      <c r="F14" s="235">
        <v>1</v>
      </c>
    </row>
    <row r="15" spans="1:13" x14ac:dyDescent="0.25">
      <c r="A15" t="s">
        <v>749</v>
      </c>
      <c r="D15" t="s">
        <v>596</v>
      </c>
      <c r="E15" s="235" t="s">
        <v>757</v>
      </c>
      <c r="F15" s="235">
        <v>1</v>
      </c>
    </row>
    <row r="16" spans="1:13" x14ac:dyDescent="0.25">
      <c r="A16" t="s">
        <v>749</v>
      </c>
      <c r="D16" t="s">
        <v>61</v>
      </c>
      <c r="E16" s="235" t="s">
        <v>758</v>
      </c>
      <c r="F16" s="235">
        <v>1</v>
      </c>
    </row>
    <row r="17" spans="1:6" x14ac:dyDescent="0.25">
      <c r="A17" t="s">
        <v>749</v>
      </c>
      <c r="D17" t="s">
        <v>62</v>
      </c>
      <c r="E17" s="235" t="s">
        <v>759</v>
      </c>
      <c r="F17" s="235">
        <v>1</v>
      </c>
    </row>
    <row r="18" spans="1:6" x14ac:dyDescent="0.25">
      <c r="A18" t="s">
        <v>749</v>
      </c>
      <c r="D18" t="s">
        <v>436</v>
      </c>
      <c r="E18" s="235" t="s">
        <v>760</v>
      </c>
      <c r="F18" s="235">
        <v>1</v>
      </c>
    </row>
    <row r="19" spans="1:6" x14ac:dyDescent="0.25">
      <c r="A19" t="s">
        <v>749</v>
      </c>
      <c r="D19" t="s">
        <v>434</v>
      </c>
      <c r="E19" s="235" t="s">
        <v>761</v>
      </c>
      <c r="F19" s="235">
        <v>1</v>
      </c>
    </row>
    <row r="20" spans="1:6" x14ac:dyDescent="0.25">
      <c r="A20" t="s">
        <v>749</v>
      </c>
      <c r="D20" t="s">
        <v>63</v>
      </c>
      <c r="E20" s="235" t="s">
        <v>762</v>
      </c>
      <c r="F20" s="235">
        <v>1</v>
      </c>
    </row>
    <row r="21" spans="1:6" x14ac:dyDescent="0.25">
      <c r="A21" t="s">
        <v>749</v>
      </c>
      <c r="D21" t="s">
        <v>622</v>
      </c>
      <c r="E21" s="235" t="s">
        <v>763</v>
      </c>
      <c r="F21" s="235">
        <v>1</v>
      </c>
    </row>
    <row r="22" spans="1:6" x14ac:dyDescent="0.25">
      <c r="A22" t="s">
        <v>749</v>
      </c>
      <c r="D22" t="s">
        <v>618</v>
      </c>
      <c r="E22" s="235" t="s">
        <v>764</v>
      </c>
      <c r="F22" s="235">
        <v>1</v>
      </c>
    </row>
    <row r="23" spans="1:6" x14ac:dyDescent="0.25">
      <c r="A23" t="s">
        <v>749</v>
      </c>
      <c r="D23" t="s">
        <v>64</v>
      </c>
      <c r="E23" s="235" t="s">
        <v>765</v>
      </c>
      <c r="F23" s="235">
        <v>1</v>
      </c>
    </row>
    <row r="24" spans="1:6" x14ac:dyDescent="0.25">
      <c r="A24" t="s">
        <v>749</v>
      </c>
      <c r="D24" t="s">
        <v>609</v>
      </c>
      <c r="E24" s="235" t="s">
        <v>766</v>
      </c>
      <c r="F24" s="235">
        <v>1</v>
      </c>
    </row>
    <row r="25" spans="1:6" x14ac:dyDescent="0.25">
      <c r="A25" t="s">
        <v>749</v>
      </c>
      <c r="D25" t="s">
        <v>726</v>
      </c>
      <c r="E25" s="235" t="s">
        <v>767</v>
      </c>
      <c r="F25" s="235">
        <v>1</v>
      </c>
    </row>
    <row r="26" spans="1:6" x14ac:dyDescent="0.25">
      <c r="A26" t="s">
        <v>749</v>
      </c>
      <c r="D26" t="s">
        <v>727</v>
      </c>
      <c r="E26" s="235" t="s">
        <v>768</v>
      </c>
      <c r="F26" s="235">
        <v>1</v>
      </c>
    </row>
    <row r="27" spans="1:6" x14ac:dyDescent="0.25">
      <c r="A27" t="s">
        <v>749</v>
      </c>
      <c r="D27" t="s">
        <v>728</v>
      </c>
      <c r="E27" s="235" t="s">
        <v>769</v>
      </c>
      <c r="F27" s="235">
        <v>1</v>
      </c>
    </row>
    <row r="28" spans="1:6" x14ac:dyDescent="0.25">
      <c r="A28" t="s">
        <v>749</v>
      </c>
      <c r="C28" t="s">
        <v>770</v>
      </c>
      <c r="E28" s="235" t="s">
        <v>711</v>
      </c>
      <c r="F28" s="235">
        <v>1</v>
      </c>
    </row>
    <row r="29" spans="1:6" x14ac:dyDescent="0.25">
      <c r="A29" t="s">
        <v>749</v>
      </c>
      <c r="D29" t="s">
        <v>738</v>
      </c>
      <c r="E29" s="235" t="s">
        <v>709</v>
      </c>
      <c r="F29" s="235">
        <v>1</v>
      </c>
    </row>
    <row r="30" spans="1:6" x14ac:dyDescent="0.25">
      <c r="A30" t="s">
        <v>749</v>
      </c>
      <c r="C30" t="s">
        <v>771</v>
      </c>
      <c r="E30" s="235" t="s">
        <v>712</v>
      </c>
      <c r="F30" s="235">
        <v>1</v>
      </c>
    </row>
    <row r="31" spans="1:6" x14ac:dyDescent="0.25">
      <c r="A31" t="s">
        <v>749</v>
      </c>
      <c r="D31" t="s">
        <v>739</v>
      </c>
      <c r="E31" s="235" t="s">
        <v>670</v>
      </c>
      <c r="F31" s="235">
        <v>1</v>
      </c>
    </row>
    <row r="32" spans="1:6" x14ac:dyDescent="0.25">
      <c r="A32" t="s">
        <v>749</v>
      </c>
      <c r="C32" t="s">
        <v>772</v>
      </c>
      <c r="E32" s="235" t="s">
        <v>713</v>
      </c>
      <c r="F32" s="235">
        <v>1</v>
      </c>
    </row>
    <row r="33" spans="1:7" x14ac:dyDescent="0.25">
      <c r="A33" t="s">
        <v>749</v>
      </c>
      <c r="D33" t="s">
        <v>721</v>
      </c>
      <c r="E33" s="235" t="s">
        <v>773</v>
      </c>
      <c r="F33" s="235">
        <v>1</v>
      </c>
    </row>
    <row r="34" spans="1:7" x14ac:dyDescent="0.25">
      <c r="A34" t="s">
        <v>749</v>
      </c>
      <c r="D34" t="s">
        <v>722</v>
      </c>
      <c r="E34" s="235" t="s">
        <v>774</v>
      </c>
      <c r="F34" s="235">
        <v>1</v>
      </c>
    </row>
    <row r="35" spans="1:7" x14ac:dyDescent="0.25">
      <c r="A35" t="s">
        <v>749</v>
      </c>
      <c r="D35" t="s">
        <v>723</v>
      </c>
      <c r="E35" s="235" t="s">
        <v>775</v>
      </c>
      <c r="F35" s="235">
        <v>1</v>
      </c>
    </row>
    <row r="36" spans="1:7" x14ac:dyDescent="0.25">
      <c r="A36" t="s">
        <v>749</v>
      </c>
      <c r="D36" t="s">
        <v>724</v>
      </c>
      <c r="E36" s="235" t="s">
        <v>776</v>
      </c>
      <c r="F36" s="235">
        <v>1</v>
      </c>
    </row>
    <row r="37" spans="1:7" x14ac:dyDescent="0.25">
      <c r="A37" t="s">
        <v>749</v>
      </c>
      <c r="D37" t="s">
        <v>725</v>
      </c>
      <c r="E37" s="235" t="s">
        <v>777</v>
      </c>
      <c r="F37" s="235">
        <v>1</v>
      </c>
    </row>
    <row r="38" spans="1:7" x14ac:dyDescent="0.25">
      <c r="E38" s="235"/>
      <c r="F38" s="235"/>
    </row>
    <row r="39" spans="1:7" x14ac:dyDescent="0.25">
      <c r="B39" t="s">
        <v>778</v>
      </c>
      <c r="E39" s="235"/>
      <c r="F39" s="235">
        <v>0</v>
      </c>
      <c r="G39" t="s">
        <v>779</v>
      </c>
    </row>
    <row r="40" spans="1:7" x14ac:dyDescent="0.25">
      <c r="A40" t="s">
        <v>780</v>
      </c>
      <c r="C40" t="s">
        <v>781</v>
      </c>
      <c r="E40" s="235" t="s">
        <v>782</v>
      </c>
      <c r="F40" s="235">
        <v>1</v>
      </c>
      <c r="G40" t="s">
        <v>783</v>
      </c>
    </row>
    <row r="41" spans="1:7" x14ac:dyDescent="0.25">
      <c r="A41" t="s">
        <v>780</v>
      </c>
      <c r="D41" t="s">
        <v>555</v>
      </c>
      <c r="E41" s="235" t="s">
        <v>418</v>
      </c>
      <c r="F41" s="235">
        <v>1</v>
      </c>
    </row>
    <row r="42" spans="1:7" x14ac:dyDescent="0.25">
      <c r="A42" t="s">
        <v>780</v>
      </c>
      <c r="D42" t="s">
        <v>563</v>
      </c>
      <c r="E42" s="235" t="s">
        <v>419</v>
      </c>
      <c r="F42" s="235">
        <v>1</v>
      </c>
    </row>
    <row r="43" spans="1:7" x14ac:dyDescent="0.25">
      <c r="A43" t="s">
        <v>780</v>
      </c>
      <c r="D43" t="s">
        <v>564</v>
      </c>
      <c r="E43" s="235" t="s">
        <v>405</v>
      </c>
      <c r="F43" s="235">
        <v>1</v>
      </c>
    </row>
    <row r="44" spans="1:7" x14ac:dyDescent="0.25">
      <c r="A44" t="s">
        <v>780</v>
      </c>
      <c r="D44" t="s">
        <v>565</v>
      </c>
      <c r="E44" s="235" t="s">
        <v>464</v>
      </c>
      <c r="F44" s="235">
        <v>1</v>
      </c>
    </row>
    <row r="45" spans="1:7" x14ac:dyDescent="0.25">
      <c r="A45" t="s">
        <v>780</v>
      </c>
      <c r="D45" t="s">
        <v>566</v>
      </c>
      <c r="E45" s="235" t="s">
        <v>420</v>
      </c>
      <c r="F45" s="235">
        <v>1</v>
      </c>
    </row>
    <row r="46" spans="1:7" x14ac:dyDescent="0.25">
      <c r="A46" t="s">
        <v>780</v>
      </c>
      <c r="D46" t="s">
        <v>567</v>
      </c>
      <c r="E46" s="235" t="s">
        <v>421</v>
      </c>
      <c r="F46" s="235">
        <v>1</v>
      </c>
    </row>
    <row r="47" spans="1:7" x14ac:dyDescent="0.25">
      <c r="A47" t="s">
        <v>780</v>
      </c>
      <c r="D47" t="s">
        <v>568</v>
      </c>
      <c r="E47" s="235" t="s">
        <v>422</v>
      </c>
      <c r="F47" s="235">
        <v>1</v>
      </c>
    </row>
    <row r="48" spans="1:7" x14ac:dyDescent="0.25">
      <c r="A48" t="s">
        <v>780</v>
      </c>
      <c r="D48" t="s">
        <v>569</v>
      </c>
      <c r="E48" s="235" t="s">
        <v>423</v>
      </c>
      <c r="F48" s="235">
        <v>1</v>
      </c>
    </row>
    <row r="49" spans="1:6" x14ac:dyDescent="0.25">
      <c r="A49" t="s">
        <v>780</v>
      </c>
      <c r="D49" t="s">
        <v>570</v>
      </c>
      <c r="E49" s="235" t="s">
        <v>465</v>
      </c>
      <c r="F49" s="235">
        <v>1</v>
      </c>
    </row>
    <row r="50" spans="1:6" x14ac:dyDescent="0.25">
      <c r="A50" t="s">
        <v>780</v>
      </c>
      <c r="D50" t="s">
        <v>571</v>
      </c>
      <c r="E50" s="235" t="s">
        <v>466</v>
      </c>
      <c r="F50" s="235">
        <v>1</v>
      </c>
    </row>
    <row r="51" spans="1:6" x14ac:dyDescent="0.25">
      <c r="A51" t="s">
        <v>780</v>
      </c>
      <c r="D51" t="s">
        <v>572</v>
      </c>
      <c r="E51" s="235" t="s">
        <v>413</v>
      </c>
      <c r="F51" s="235">
        <v>1</v>
      </c>
    </row>
    <row r="52" spans="1:6" x14ac:dyDescent="0.25">
      <c r="A52" t="s">
        <v>780</v>
      </c>
      <c r="D52" t="s">
        <v>716</v>
      </c>
      <c r="E52" s="235" t="s">
        <v>15</v>
      </c>
      <c r="F52" s="235">
        <v>1</v>
      </c>
    </row>
    <row r="53" spans="1:6" x14ac:dyDescent="0.25">
      <c r="A53" t="s">
        <v>780</v>
      </c>
      <c r="D53" t="s">
        <v>717</v>
      </c>
      <c r="E53" s="235" t="s">
        <v>682</v>
      </c>
      <c r="F53" s="235">
        <v>1</v>
      </c>
    </row>
    <row r="54" spans="1:6" x14ac:dyDescent="0.25">
      <c r="A54" t="s">
        <v>780</v>
      </c>
      <c r="D54" t="s">
        <v>718</v>
      </c>
      <c r="E54" s="235" t="s">
        <v>683</v>
      </c>
      <c r="F54" s="235">
        <v>1</v>
      </c>
    </row>
    <row r="55" spans="1:6" x14ac:dyDescent="0.25">
      <c r="A55" t="s">
        <v>780</v>
      </c>
      <c r="D55" t="s">
        <v>573</v>
      </c>
      <c r="E55" s="235" t="s">
        <v>103</v>
      </c>
      <c r="F55" s="235">
        <v>1</v>
      </c>
    </row>
    <row r="56" spans="1:6" x14ac:dyDescent="0.25">
      <c r="A56" t="s">
        <v>780</v>
      </c>
      <c r="D56" t="s">
        <v>574</v>
      </c>
      <c r="E56" s="235" t="s">
        <v>408</v>
      </c>
      <c r="F56" s="235">
        <v>1</v>
      </c>
    </row>
    <row r="57" spans="1:6" x14ac:dyDescent="0.25">
      <c r="A57" t="s">
        <v>780</v>
      </c>
      <c r="D57" t="s">
        <v>575</v>
      </c>
      <c r="E57" s="235" t="s">
        <v>38</v>
      </c>
      <c r="F57" s="235">
        <v>1</v>
      </c>
    </row>
    <row r="58" spans="1:6" x14ac:dyDescent="0.25">
      <c r="A58" t="s">
        <v>780</v>
      </c>
      <c r="D58" t="s">
        <v>576</v>
      </c>
      <c r="E58" s="235" t="s">
        <v>414</v>
      </c>
      <c r="F58" s="235">
        <v>1</v>
      </c>
    </row>
    <row r="59" spans="1:6" x14ac:dyDescent="0.25">
      <c r="A59" t="s">
        <v>780</v>
      </c>
      <c r="D59" t="s">
        <v>577</v>
      </c>
      <c r="E59" s="235" t="s">
        <v>415</v>
      </c>
      <c r="F59" s="235">
        <v>1</v>
      </c>
    </row>
    <row r="60" spans="1:6" x14ac:dyDescent="0.25">
      <c r="A60" t="s">
        <v>780</v>
      </c>
      <c r="D60" t="s">
        <v>719</v>
      </c>
      <c r="E60" s="235" t="s">
        <v>684</v>
      </c>
      <c r="F60" s="235">
        <v>1</v>
      </c>
    </row>
    <row r="61" spans="1:6" x14ac:dyDescent="0.25">
      <c r="A61" t="s">
        <v>780</v>
      </c>
      <c r="D61" t="s">
        <v>720</v>
      </c>
      <c r="E61" s="235" t="s">
        <v>685</v>
      </c>
      <c r="F61" s="235">
        <v>1</v>
      </c>
    </row>
    <row r="62" spans="1:6" x14ac:dyDescent="0.25">
      <c r="A62" t="s">
        <v>780</v>
      </c>
      <c r="D62" t="s">
        <v>578</v>
      </c>
      <c r="E62" s="235" t="s">
        <v>409</v>
      </c>
      <c r="F62" s="235">
        <v>1</v>
      </c>
    </row>
    <row r="63" spans="1:6" x14ac:dyDescent="0.25">
      <c r="A63" t="s">
        <v>780</v>
      </c>
      <c r="D63" t="s">
        <v>579</v>
      </c>
      <c r="E63" s="235" t="s">
        <v>93</v>
      </c>
      <c r="F63" s="235">
        <v>1</v>
      </c>
    </row>
    <row r="64" spans="1:6" x14ac:dyDescent="0.25">
      <c r="A64" t="s">
        <v>780</v>
      </c>
      <c r="D64" t="s">
        <v>580</v>
      </c>
      <c r="E64" s="235" t="s">
        <v>406</v>
      </c>
      <c r="F64" s="235">
        <v>1</v>
      </c>
    </row>
    <row r="65" spans="1:13" ht="14.4" x14ac:dyDescent="0.3">
      <c r="A65" t="s">
        <v>780</v>
      </c>
      <c r="D65" t="s">
        <v>581</v>
      </c>
      <c r="E65" s="235" t="s">
        <v>407</v>
      </c>
      <c r="F65" s="235">
        <v>1</v>
      </c>
      <c r="H65" s="236"/>
    </row>
    <row r="66" spans="1:13" ht="14.4" x14ac:dyDescent="0.3">
      <c r="A66" t="s">
        <v>780</v>
      </c>
      <c r="D66" t="s">
        <v>582</v>
      </c>
      <c r="E66" s="235" t="s">
        <v>417</v>
      </c>
      <c r="F66" s="235">
        <v>1</v>
      </c>
      <c r="H66" s="236"/>
    </row>
    <row r="67" spans="1:13" ht="14.4" x14ac:dyDescent="0.3">
      <c r="A67" t="s">
        <v>780</v>
      </c>
      <c r="D67" t="s">
        <v>583</v>
      </c>
      <c r="E67" s="235" t="s">
        <v>416</v>
      </c>
      <c r="F67" s="235">
        <v>1</v>
      </c>
      <c r="H67" s="236"/>
    </row>
    <row r="68" spans="1:13" ht="14.4" x14ac:dyDescent="0.3">
      <c r="A68" t="s">
        <v>780</v>
      </c>
      <c r="D68" t="s">
        <v>584</v>
      </c>
      <c r="E68" s="235" t="s">
        <v>410</v>
      </c>
      <c r="F68" s="235">
        <v>1</v>
      </c>
      <c r="H68" s="236"/>
    </row>
    <row r="69" spans="1:13" x14ac:dyDescent="0.25">
      <c r="A69" t="s">
        <v>780</v>
      </c>
      <c r="D69" t="s">
        <v>734</v>
      </c>
      <c r="E69" s="235" t="s">
        <v>667</v>
      </c>
      <c r="F69" s="235">
        <v>1</v>
      </c>
    </row>
    <row r="70" spans="1:13" x14ac:dyDescent="0.25">
      <c r="A70" t="s">
        <v>780</v>
      </c>
      <c r="D70" t="s">
        <v>735</v>
      </c>
      <c r="E70" s="235" t="s">
        <v>784</v>
      </c>
      <c r="F70" s="235">
        <v>1</v>
      </c>
    </row>
    <row r="75" spans="1:13" s="424" customFormat="1" x14ac:dyDescent="0.25">
      <c r="A75" s="184" t="s">
        <v>897</v>
      </c>
      <c r="I75" s="184" t="s">
        <v>790</v>
      </c>
    </row>
    <row r="77" spans="1:13" ht="14.4" x14ac:dyDescent="0.3">
      <c r="A77" s="233" t="s">
        <v>740</v>
      </c>
      <c r="B77" s="233"/>
      <c r="C77" s="233" t="s">
        <v>741</v>
      </c>
      <c r="D77" s="233"/>
      <c r="E77" s="234" t="s">
        <v>742</v>
      </c>
      <c r="F77" s="234"/>
      <c r="I77" s="190" t="s">
        <v>785</v>
      </c>
      <c r="J77" s="190" t="s">
        <v>786</v>
      </c>
      <c r="K77" s="190" t="s">
        <v>787</v>
      </c>
      <c r="L77" s="191"/>
      <c r="M77" s="192" t="s">
        <v>554</v>
      </c>
    </row>
    <row r="78" spans="1:13" ht="14.4" x14ac:dyDescent="0.3">
      <c r="A78" t="s">
        <v>743</v>
      </c>
      <c r="B78" t="s">
        <v>744</v>
      </c>
      <c r="C78" s="233"/>
      <c r="D78" s="233"/>
      <c r="E78" s="235" t="s">
        <v>745</v>
      </c>
      <c r="F78" s="235">
        <v>0</v>
      </c>
      <c r="G78" t="s">
        <v>746</v>
      </c>
      <c r="I78" t="s">
        <v>788</v>
      </c>
      <c r="J78" s="193"/>
      <c r="K78" s="193"/>
      <c r="L78" s="193"/>
      <c r="M78" s="194"/>
    </row>
    <row r="79" spans="1:13" ht="14.4" x14ac:dyDescent="0.3">
      <c r="A79" t="s">
        <v>743</v>
      </c>
      <c r="C79" t="s">
        <v>747</v>
      </c>
      <c r="E79" s="235" t="s">
        <v>748</v>
      </c>
      <c r="F79" s="235">
        <v>1</v>
      </c>
      <c r="J79" s="237" t="s">
        <v>789</v>
      </c>
      <c r="K79" s="193"/>
      <c r="L79" s="193"/>
      <c r="M79" s="194"/>
    </row>
    <row r="80" spans="1:13" ht="14.4" x14ac:dyDescent="0.3">
      <c r="A80" t="s">
        <v>749</v>
      </c>
      <c r="D80" t="s">
        <v>586</v>
      </c>
      <c r="E80" s="235" t="s">
        <v>737</v>
      </c>
      <c r="F80" s="235">
        <v>1</v>
      </c>
      <c r="J80" s="193"/>
      <c r="K80" s="195" t="s">
        <v>585</v>
      </c>
      <c r="L80" s="193"/>
      <c r="M80" s="196" t="s">
        <v>710</v>
      </c>
    </row>
    <row r="81" spans="1:13" ht="14.4" x14ac:dyDescent="0.3">
      <c r="A81" t="s">
        <v>749</v>
      </c>
      <c r="D81" t="s">
        <v>729</v>
      </c>
      <c r="E81" s="235" t="s">
        <v>750</v>
      </c>
      <c r="F81" s="235">
        <v>1</v>
      </c>
      <c r="J81" s="193"/>
      <c r="K81" s="238" t="s">
        <v>671</v>
      </c>
      <c r="L81" s="193"/>
      <c r="M81" s="183" t="s">
        <v>711</v>
      </c>
    </row>
    <row r="82" spans="1:13" ht="14.4" x14ac:dyDescent="0.3">
      <c r="A82" t="s">
        <v>749</v>
      </c>
      <c r="D82" t="s">
        <v>730</v>
      </c>
      <c r="E82" s="235" t="s">
        <v>751</v>
      </c>
      <c r="F82" s="235">
        <v>1</v>
      </c>
      <c r="J82" s="193"/>
      <c r="K82" s="239" t="s">
        <v>672</v>
      </c>
      <c r="L82" s="193"/>
      <c r="M82" s="184" t="s">
        <v>712</v>
      </c>
    </row>
    <row r="83" spans="1:13" ht="14.4" x14ac:dyDescent="0.3">
      <c r="A83" t="s">
        <v>749</v>
      </c>
      <c r="D83" t="s">
        <v>731</v>
      </c>
      <c r="E83" s="235" t="s">
        <v>752</v>
      </c>
      <c r="F83" s="235">
        <v>1</v>
      </c>
      <c r="J83" s="193"/>
      <c r="K83" s="197" t="s">
        <v>673</v>
      </c>
      <c r="L83" s="193"/>
      <c r="M83" s="197" t="s">
        <v>713</v>
      </c>
    </row>
    <row r="84" spans="1:13" ht="14.4" x14ac:dyDescent="0.3">
      <c r="A84" t="s">
        <v>749</v>
      </c>
      <c r="D84" t="s">
        <v>732</v>
      </c>
      <c r="E84" s="235" t="s">
        <v>753</v>
      </c>
      <c r="F84" s="235">
        <v>1</v>
      </c>
      <c r="J84" s="193"/>
      <c r="K84" s="198" t="s">
        <v>674</v>
      </c>
      <c r="L84" s="193"/>
      <c r="M84" s="198" t="s">
        <v>714</v>
      </c>
    </row>
    <row r="85" spans="1:13" ht="14.4" x14ac:dyDescent="0.3">
      <c r="A85" t="s">
        <v>749</v>
      </c>
      <c r="D85" t="s">
        <v>733</v>
      </c>
      <c r="E85" s="235" t="s">
        <v>754</v>
      </c>
      <c r="F85" s="235">
        <v>1</v>
      </c>
      <c r="J85" s="193"/>
      <c r="K85" s="199" t="s">
        <v>675</v>
      </c>
      <c r="L85" s="193"/>
      <c r="M85" s="199" t="s">
        <v>715</v>
      </c>
    </row>
    <row r="86" spans="1:13" x14ac:dyDescent="0.25">
      <c r="A86" t="s">
        <v>749</v>
      </c>
      <c r="C86" t="s">
        <v>755</v>
      </c>
      <c r="E86" s="235" t="s">
        <v>714</v>
      </c>
      <c r="F86" s="235">
        <v>1</v>
      </c>
    </row>
    <row r="87" spans="1:13" x14ac:dyDescent="0.25">
      <c r="A87" t="s">
        <v>749</v>
      </c>
      <c r="D87" t="s">
        <v>433</v>
      </c>
      <c r="E87" s="235" t="s">
        <v>756</v>
      </c>
      <c r="F87" s="235">
        <v>1</v>
      </c>
    </row>
    <row r="88" spans="1:13" x14ac:dyDescent="0.25">
      <c r="A88" t="s">
        <v>749</v>
      </c>
      <c r="D88" t="s">
        <v>596</v>
      </c>
      <c r="E88" s="235" t="s">
        <v>757</v>
      </c>
      <c r="F88" s="235">
        <v>1</v>
      </c>
    </row>
    <row r="89" spans="1:13" x14ac:dyDescent="0.25">
      <c r="A89" t="s">
        <v>749</v>
      </c>
      <c r="D89" t="s">
        <v>61</v>
      </c>
      <c r="E89" s="235" t="s">
        <v>758</v>
      </c>
      <c r="F89" s="235">
        <v>1</v>
      </c>
    </row>
    <row r="90" spans="1:13" x14ac:dyDescent="0.25">
      <c r="A90" t="s">
        <v>749</v>
      </c>
      <c r="D90" t="s">
        <v>62</v>
      </c>
      <c r="E90" s="235" t="s">
        <v>759</v>
      </c>
      <c r="F90" s="235">
        <v>1</v>
      </c>
    </row>
    <row r="91" spans="1:13" x14ac:dyDescent="0.25">
      <c r="A91" t="s">
        <v>749</v>
      </c>
      <c r="D91" t="s">
        <v>436</v>
      </c>
      <c r="E91" s="235" t="s">
        <v>760</v>
      </c>
      <c r="F91" s="235">
        <v>1</v>
      </c>
    </row>
    <row r="92" spans="1:13" x14ac:dyDescent="0.25">
      <c r="A92" t="s">
        <v>749</v>
      </c>
      <c r="D92" t="s">
        <v>434</v>
      </c>
      <c r="E92" s="235" t="s">
        <v>761</v>
      </c>
      <c r="F92" s="235">
        <v>1</v>
      </c>
    </row>
    <row r="93" spans="1:13" x14ac:dyDescent="0.25">
      <c r="A93" t="s">
        <v>749</v>
      </c>
      <c r="D93" t="s">
        <v>63</v>
      </c>
      <c r="E93" s="235" t="s">
        <v>762</v>
      </c>
      <c r="F93" s="235">
        <v>1</v>
      </c>
    </row>
    <row r="94" spans="1:13" x14ac:dyDescent="0.25">
      <c r="A94" t="s">
        <v>749</v>
      </c>
      <c r="D94" t="s">
        <v>622</v>
      </c>
      <c r="E94" s="235" t="s">
        <v>763</v>
      </c>
      <c r="F94" s="235">
        <v>1</v>
      </c>
    </row>
    <row r="95" spans="1:13" x14ac:dyDescent="0.25">
      <c r="A95" t="s">
        <v>749</v>
      </c>
      <c r="D95" t="s">
        <v>618</v>
      </c>
      <c r="E95" s="235" t="s">
        <v>764</v>
      </c>
      <c r="F95" s="235">
        <v>1</v>
      </c>
    </row>
    <row r="96" spans="1:13" x14ac:dyDescent="0.25">
      <c r="A96" t="s">
        <v>749</v>
      </c>
      <c r="D96" t="s">
        <v>64</v>
      </c>
      <c r="E96" s="235" t="s">
        <v>765</v>
      </c>
      <c r="F96" s="235">
        <v>1</v>
      </c>
    </row>
    <row r="97" spans="1:9" x14ac:dyDescent="0.25">
      <c r="A97" t="s">
        <v>749</v>
      </c>
      <c r="D97" t="s">
        <v>609</v>
      </c>
      <c r="E97" s="235" t="s">
        <v>766</v>
      </c>
      <c r="F97" s="235">
        <v>1</v>
      </c>
    </row>
    <row r="98" spans="1:9" x14ac:dyDescent="0.25">
      <c r="A98" t="s">
        <v>749</v>
      </c>
      <c r="D98" t="s">
        <v>726</v>
      </c>
      <c r="E98" s="235" t="s">
        <v>767</v>
      </c>
      <c r="F98" s="235">
        <v>1</v>
      </c>
    </row>
    <row r="99" spans="1:9" x14ac:dyDescent="0.25">
      <c r="A99" t="s">
        <v>749</v>
      </c>
      <c r="D99" t="s">
        <v>727</v>
      </c>
      <c r="E99" s="235" t="s">
        <v>768</v>
      </c>
      <c r="F99" s="235">
        <v>1</v>
      </c>
    </row>
    <row r="100" spans="1:9" x14ac:dyDescent="0.25">
      <c r="A100" t="s">
        <v>749</v>
      </c>
      <c r="D100" t="s">
        <v>728</v>
      </c>
      <c r="E100" s="235" t="s">
        <v>769</v>
      </c>
      <c r="F100" s="235">
        <v>1</v>
      </c>
    </row>
    <row r="101" spans="1:9" x14ac:dyDescent="0.25">
      <c r="A101" t="s">
        <v>749</v>
      </c>
      <c r="C101" t="s">
        <v>770</v>
      </c>
      <c r="E101" s="235" t="s">
        <v>711</v>
      </c>
      <c r="F101" s="235">
        <v>1</v>
      </c>
    </row>
    <row r="102" spans="1:9" x14ac:dyDescent="0.25">
      <c r="A102" t="s">
        <v>749</v>
      </c>
      <c r="D102" t="s">
        <v>738</v>
      </c>
      <c r="E102" s="235" t="s">
        <v>709</v>
      </c>
      <c r="F102" s="235">
        <v>1</v>
      </c>
    </row>
    <row r="103" spans="1:9" x14ac:dyDescent="0.25">
      <c r="A103" t="s">
        <v>749</v>
      </c>
      <c r="C103" t="s">
        <v>771</v>
      </c>
      <c r="E103" s="235" t="s">
        <v>712</v>
      </c>
      <c r="F103" s="235">
        <v>1</v>
      </c>
    </row>
    <row r="104" spans="1:9" x14ac:dyDescent="0.25">
      <c r="A104" t="s">
        <v>749</v>
      </c>
      <c r="D104" t="s">
        <v>739</v>
      </c>
      <c r="E104" s="235" t="s">
        <v>670</v>
      </c>
      <c r="F104" s="235">
        <v>1</v>
      </c>
    </row>
    <row r="105" spans="1:9" x14ac:dyDescent="0.25">
      <c r="A105" t="s">
        <v>749</v>
      </c>
      <c r="C105" t="s">
        <v>772</v>
      </c>
      <c r="E105" s="235" t="s">
        <v>713</v>
      </c>
      <c r="F105" s="235">
        <v>1</v>
      </c>
    </row>
    <row r="106" spans="1:9" x14ac:dyDescent="0.25">
      <c r="A106" t="s">
        <v>749</v>
      </c>
      <c r="D106" t="s">
        <v>721</v>
      </c>
      <c r="E106" s="235" t="s">
        <v>773</v>
      </c>
      <c r="F106" s="235">
        <v>1</v>
      </c>
    </row>
    <row r="107" spans="1:9" x14ac:dyDescent="0.25">
      <c r="A107" t="s">
        <v>749</v>
      </c>
      <c r="D107" t="s">
        <v>722</v>
      </c>
      <c r="E107" s="235" t="s">
        <v>774</v>
      </c>
      <c r="F107" s="235">
        <v>1</v>
      </c>
    </row>
    <row r="108" spans="1:9" x14ac:dyDescent="0.25">
      <c r="A108" t="s">
        <v>749</v>
      </c>
      <c r="D108" t="s">
        <v>723</v>
      </c>
      <c r="E108" s="235" t="s">
        <v>775</v>
      </c>
      <c r="F108" s="235">
        <v>1</v>
      </c>
    </row>
    <row r="109" spans="1:9" x14ac:dyDescent="0.25">
      <c r="A109" t="s">
        <v>749</v>
      </c>
      <c r="D109" t="s">
        <v>724</v>
      </c>
      <c r="E109" s="235" t="s">
        <v>776</v>
      </c>
      <c r="F109" s="235">
        <v>1</v>
      </c>
    </row>
    <row r="110" spans="1:9" x14ac:dyDescent="0.25">
      <c r="A110" t="s">
        <v>749</v>
      </c>
      <c r="D110" t="s">
        <v>725</v>
      </c>
      <c r="E110" s="235" t="s">
        <v>777</v>
      </c>
      <c r="F110" s="235">
        <v>1</v>
      </c>
    </row>
    <row r="111" spans="1:9" ht="18.600000000000001" customHeight="1" x14ac:dyDescent="0.3">
      <c r="A111" s="569" t="s">
        <v>889</v>
      </c>
      <c r="B111" s="569"/>
      <c r="C111" s="569"/>
      <c r="D111" s="569"/>
      <c r="E111" s="569"/>
      <c r="F111" s="569"/>
      <c r="I111" s="412" t="s">
        <v>890</v>
      </c>
    </row>
    <row r="112" spans="1:9" x14ac:dyDescent="0.25">
      <c r="B112" t="s">
        <v>778</v>
      </c>
      <c r="E112" s="235"/>
      <c r="F112" s="235">
        <v>0</v>
      </c>
      <c r="G112" t="s">
        <v>779</v>
      </c>
    </row>
    <row r="113" spans="1:7" x14ac:dyDescent="0.25">
      <c r="A113" t="s">
        <v>780</v>
      </c>
      <c r="C113" t="s">
        <v>781</v>
      </c>
      <c r="E113" s="400" t="s">
        <v>782</v>
      </c>
      <c r="F113" s="400">
        <v>1</v>
      </c>
      <c r="G113" t="s">
        <v>783</v>
      </c>
    </row>
    <row r="114" spans="1:7" x14ac:dyDescent="0.25">
      <c r="A114" t="s">
        <v>780</v>
      </c>
      <c r="D114" t="s">
        <v>555</v>
      </c>
      <c r="E114" s="400" t="s">
        <v>418</v>
      </c>
      <c r="F114" s="400">
        <v>1</v>
      </c>
    </row>
    <row r="115" spans="1:7" x14ac:dyDescent="0.25">
      <c r="A115" t="s">
        <v>780</v>
      </c>
      <c r="D115" t="s">
        <v>563</v>
      </c>
      <c r="E115" s="400" t="s">
        <v>419</v>
      </c>
      <c r="F115" s="400">
        <v>1</v>
      </c>
    </row>
    <row r="116" spans="1:7" x14ac:dyDescent="0.25">
      <c r="A116" t="s">
        <v>780</v>
      </c>
      <c r="D116" t="s">
        <v>564</v>
      </c>
      <c r="E116" s="400" t="s">
        <v>405</v>
      </c>
      <c r="F116" s="400">
        <v>1</v>
      </c>
    </row>
    <row r="117" spans="1:7" x14ac:dyDescent="0.25">
      <c r="A117" t="s">
        <v>780</v>
      </c>
      <c r="D117" s="404" t="s">
        <v>873</v>
      </c>
      <c r="E117" s="400"/>
      <c r="F117" s="400" t="s">
        <v>858</v>
      </c>
    </row>
    <row r="118" spans="1:7" x14ac:dyDescent="0.25">
      <c r="A118" t="s">
        <v>780</v>
      </c>
      <c r="D118" t="s">
        <v>565</v>
      </c>
      <c r="E118" s="400" t="s">
        <v>464</v>
      </c>
      <c r="F118" s="400">
        <v>1</v>
      </c>
    </row>
    <row r="119" spans="1:7" x14ac:dyDescent="0.25">
      <c r="A119" t="s">
        <v>780</v>
      </c>
      <c r="D119" s="404" t="s">
        <v>874</v>
      </c>
      <c r="E119" s="400"/>
      <c r="F119" s="400" t="s">
        <v>859</v>
      </c>
    </row>
    <row r="120" spans="1:7" x14ac:dyDescent="0.25">
      <c r="A120" t="s">
        <v>780</v>
      </c>
      <c r="D120" t="s">
        <v>566</v>
      </c>
      <c r="E120" s="400" t="s">
        <v>420</v>
      </c>
      <c r="F120" s="400">
        <v>1</v>
      </c>
    </row>
    <row r="121" spans="1:7" x14ac:dyDescent="0.25">
      <c r="A121" t="s">
        <v>780</v>
      </c>
      <c r="D121" t="s">
        <v>567</v>
      </c>
      <c r="E121" s="400" t="s">
        <v>421</v>
      </c>
      <c r="F121" s="400">
        <v>1</v>
      </c>
    </row>
    <row r="122" spans="1:7" x14ac:dyDescent="0.25">
      <c r="A122" t="s">
        <v>780</v>
      </c>
      <c r="D122" t="s">
        <v>568</v>
      </c>
      <c r="E122" s="400" t="s">
        <v>422</v>
      </c>
      <c r="F122" s="400">
        <v>1</v>
      </c>
    </row>
    <row r="123" spans="1:7" x14ac:dyDescent="0.25">
      <c r="A123" t="s">
        <v>780</v>
      </c>
      <c r="D123" t="s">
        <v>569</v>
      </c>
      <c r="E123" s="400" t="s">
        <v>423</v>
      </c>
      <c r="F123" s="400">
        <v>1</v>
      </c>
    </row>
    <row r="124" spans="1:7" x14ac:dyDescent="0.25">
      <c r="A124" t="s">
        <v>780</v>
      </c>
      <c r="D124" t="s">
        <v>570</v>
      </c>
      <c r="E124" s="400" t="s">
        <v>465</v>
      </c>
      <c r="F124" s="400">
        <v>1</v>
      </c>
    </row>
    <row r="125" spans="1:7" x14ac:dyDescent="0.25">
      <c r="A125" t="s">
        <v>780</v>
      </c>
      <c r="D125" t="s">
        <v>571</v>
      </c>
      <c r="E125" s="400" t="s">
        <v>466</v>
      </c>
      <c r="F125" s="400">
        <v>1</v>
      </c>
    </row>
    <row r="126" spans="1:7" x14ac:dyDescent="0.25">
      <c r="A126" t="s">
        <v>780</v>
      </c>
      <c r="D126" t="s">
        <v>572</v>
      </c>
      <c r="E126" s="400" t="s">
        <v>413</v>
      </c>
      <c r="F126" s="400">
        <v>1</v>
      </c>
    </row>
    <row r="127" spans="1:7" x14ac:dyDescent="0.25">
      <c r="A127" t="s">
        <v>780</v>
      </c>
      <c r="D127" s="404" t="s">
        <v>875</v>
      </c>
      <c r="E127" s="400"/>
      <c r="F127" s="400" t="s">
        <v>860</v>
      </c>
    </row>
    <row r="128" spans="1:7" x14ac:dyDescent="0.25">
      <c r="A128" t="s">
        <v>780</v>
      </c>
      <c r="D128" t="s">
        <v>716</v>
      </c>
      <c r="E128" s="400" t="s">
        <v>15</v>
      </c>
      <c r="F128" s="400">
        <v>1</v>
      </c>
    </row>
    <row r="129" spans="1:9" ht="14.4" x14ac:dyDescent="0.3">
      <c r="A129" t="s">
        <v>780</v>
      </c>
      <c r="D129" t="s">
        <v>717</v>
      </c>
      <c r="E129" s="400" t="s">
        <v>682</v>
      </c>
      <c r="F129" s="400">
        <v>1</v>
      </c>
      <c r="H129" s="236"/>
    </row>
    <row r="130" spans="1:9" ht="14.4" x14ac:dyDescent="0.3">
      <c r="A130" t="s">
        <v>780</v>
      </c>
      <c r="D130" t="s">
        <v>718</v>
      </c>
      <c r="E130" s="400" t="s">
        <v>683</v>
      </c>
      <c r="F130" s="400">
        <v>1</v>
      </c>
      <c r="H130" s="236"/>
    </row>
    <row r="131" spans="1:9" ht="14.4" x14ac:dyDescent="0.3">
      <c r="A131" t="s">
        <v>780</v>
      </c>
      <c r="D131" t="s">
        <v>573</v>
      </c>
      <c r="E131" s="400" t="s">
        <v>103</v>
      </c>
      <c r="F131" s="400">
        <v>1</v>
      </c>
      <c r="H131" s="236"/>
    </row>
    <row r="132" spans="1:9" ht="14.4" x14ac:dyDescent="0.3">
      <c r="A132" t="s">
        <v>780</v>
      </c>
      <c r="D132" t="s">
        <v>574</v>
      </c>
      <c r="E132" s="400" t="s">
        <v>408</v>
      </c>
      <c r="F132" s="400">
        <v>1</v>
      </c>
      <c r="H132" s="236"/>
      <c r="I132" s="413"/>
    </row>
    <row r="133" spans="1:9" ht="14.4" x14ac:dyDescent="0.3">
      <c r="A133" t="s">
        <v>780</v>
      </c>
      <c r="D133" s="404" t="s">
        <v>876</v>
      </c>
      <c r="E133" s="400"/>
      <c r="F133" s="400" t="s">
        <v>861</v>
      </c>
      <c r="H133" s="236"/>
      <c r="I133" s="413"/>
    </row>
    <row r="134" spans="1:9" ht="14.4" x14ac:dyDescent="0.3">
      <c r="A134" t="s">
        <v>780</v>
      </c>
      <c r="D134" t="s">
        <v>575</v>
      </c>
      <c r="E134" s="400" t="s">
        <v>38</v>
      </c>
      <c r="F134" s="400">
        <v>1</v>
      </c>
      <c r="H134" s="236"/>
    </row>
    <row r="135" spans="1:9" ht="15" thickBot="1" x14ac:dyDescent="0.35">
      <c r="A135" t="s">
        <v>780</v>
      </c>
      <c r="D135" t="s">
        <v>576</v>
      </c>
      <c r="E135" s="400" t="s">
        <v>414</v>
      </c>
      <c r="F135" s="400">
        <v>1</v>
      </c>
      <c r="H135" s="236"/>
    </row>
    <row r="136" spans="1:9" ht="15" thickBot="1" x14ac:dyDescent="0.35">
      <c r="A136" s="414" t="s">
        <v>780</v>
      </c>
      <c r="B136" s="415"/>
      <c r="C136" s="415"/>
      <c r="D136" s="416" t="s">
        <v>891</v>
      </c>
      <c r="E136" s="400" t="s">
        <v>857</v>
      </c>
      <c r="F136" s="400" t="s">
        <v>862</v>
      </c>
      <c r="G136" s="417" t="s">
        <v>892</v>
      </c>
      <c r="H136" s="418"/>
      <c r="I136" s="419"/>
    </row>
    <row r="137" spans="1:9" ht="14.4" x14ac:dyDescent="0.3">
      <c r="A137" t="s">
        <v>780</v>
      </c>
      <c r="D137" s="404" t="s">
        <v>877</v>
      </c>
      <c r="E137" s="400"/>
      <c r="F137" s="400" t="s">
        <v>863</v>
      </c>
      <c r="H137" s="236"/>
    </row>
    <row r="138" spans="1:9" ht="14.4" x14ac:dyDescent="0.3">
      <c r="A138" t="s">
        <v>780</v>
      </c>
      <c r="D138" t="s">
        <v>719</v>
      </c>
      <c r="E138" s="400" t="s">
        <v>684</v>
      </c>
      <c r="F138" s="400">
        <v>1</v>
      </c>
      <c r="H138" s="236"/>
    </row>
    <row r="139" spans="1:9" ht="14.4" x14ac:dyDescent="0.3">
      <c r="A139" t="s">
        <v>780</v>
      </c>
      <c r="D139" t="s">
        <v>720</v>
      </c>
      <c r="E139" s="400" t="s">
        <v>685</v>
      </c>
      <c r="F139" s="400">
        <v>1</v>
      </c>
      <c r="H139" s="236"/>
      <c r="I139" s="420" t="s">
        <v>893</v>
      </c>
    </row>
    <row r="140" spans="1:9" ht="14.4" x14ac:dyDescent="0.3">
      <c r="A140" t="s">
        <v>780</v>
      </c>
      <c r="D140" s="404" t="s">
        <v>878</v>
      </c>
      <c r="E140" s="400"/>
      <c r="F140" s="400" t="s">
        <v>864</v>
      </c>
      <c r="H140" s="236"/>
    </row>
    <row r="141" spans="1:9" ht="14.4" x14ac:dyDescent="0.3">
      <c r="A141" t="s">
        <v>780</v>
      </c>
      <c r="D141" t="s">
        <v>578</v>
      </c>
      <c r="E141" s="400" t="s">
        <v>409</v>
      </c>
      <c r="F141" s="400">
        <v>1</v>
      </c>
      <c r="H141" s="236"/>
    </row>
    <row r="142" spans="1:9" ht="14.4" x14ac:dyDescent="0.3">
      <c r="A142" t="s">
        <v>780</v>
      </c>
      <c r="D142" s="404" t="s">
        <v>879</v>
      </c>
      <c r="E142" s="400"/>
      <c r="F142" s="400" t="s">
        <v>865</v>
      </c>
      <c r="H142" s="236"/>
    </row>
    <row r="143" spans="1:9" ht="14.4" x14ac:dyDescent="0.3">
      <c r="A143" t="s">
        <v>780</v>
      </c>
      <c r="D143" t="s">
        <v>579</v>
      </c>
      <c r="E143" s="400" t="s">
        <v>93</v>
      </c>
      <c r="F143" s="400">
        <v>1</v>
      </c>
      <c r="H143" s="236"/>
    </row>
    <row r="144" spans="1:9" ht="14.4" x14ac:dyDescent="0.3">
      <c r="A144" t="s">
        <v>780</v>
      </c>
      <c r="D144" s="404" t="s">
        <v>880</v>
      </c>
      <c r="E144" s="400"/>
      <c r="F144" s="400" t="s">
        <v>866</v>
      </c>
      <c r="H144" s="236"/>
    </row>
    <row r="145" spans="1:9" ht="14.4" x14ac:dyDescent="0.3">
      <c r="A145" t="s">
        <v>780</v>
      </c>
      <c r="D145" t="s">
        <v>580</v>
      </c>
      <c r="E145" s="400" t="s">
        <v>406</v>
      </c>
      <c r="F145" s="400">
        <v>1</v>
      </c>
      <c r="H145" s="236"/>
    </row>
    <row r="146" spans="1:9" ht="14.4" x14ac:dyDescent="0.3">
      <c r="A146" t="s">
        <v>780</v>
      </c>
      <c r="D146" t="s">
        <v>581</v>
      </c>
      <c r="E146" s="400" t="s">
        <v>407</v>
      </c>
      <c r="F146" s="400">
        <v>1</v>
      </c>
      <c r="H146" s="236"/>
    </row>
    <row r="147" spans="1:9" ht="14.4" x14ac:dyDescent="0.3">
      <c r="A147" t="s">
        <v>780</v>
      </c>
      <c r="D147" t="s">
        <v>582</v>
      </c>
      <c r="E147" s="401" t="s">
        <v>417</v>
      </c>
      <c r="F147" s="400">
        <v>1</v>
      </c>
      <c r="H147" s="236"/>
      <c r="I147" s="421" t="s">
        <v>894</v>
      </c>
    </row>
    <row r="148" spans="1:9" ht="14.4" x14ac:dyDescent="0.3">
      <c r="A148" t="s">
        <v>780</v>
      </c>
      <c r="D148" t="s">
        <v>583</v>
      </c>
      <c r="E148" s="402" t="s">
        <v>416</v>
      </c>
      <c r="F148" s="400">
        <v>1</v>
      </c>
      <c r="H148" s="236"/>
      <c r="I148" s="422" t="s">
        <v>895</v>
      </c>
    </row>
    <row r="149" spans="1:9" ht="14.4" x14ac:dyDescent="0.3">
      <c r="A149" t="s">
        <v>780</v>
      </c>
      <c r="D149" t="s">
        <v>584</v>
      </c>
      <c r="E149" s="403" t="s">
        <v>410</v>
      </c>
      <c r="F149" s="400">
        <v>1</v>
      </c>
      <c r="H149" s="236"/>
      <c r="I149" s="423" t="s">
        <v>896</v>
      </c>
    </row>
    <row r="150" spans="1:9" x14ac:dyDescent="0.25">
      <c r="A150" t="s">
        <v>780</v>
      </c>
      <c r="D150" t="s">
        <v>734</v>
      </c>
      <c r="E150" s="400" t="s">
        <v>667</v>
      </c>
      <c r="F150" s="400">
        <v>1</v>
      </c>
    </row>
    <row r="151" spans="1:9" x14ac:dyDescent="0.25">
      <c r="A151" t="s">
        <v>780</v>
      </c>
      <c r="D151" t="s">
        <v>735</v>
      </c>
      <c r="E151" s="400" t="s">
        <v>784</v>
      </c>
      <c r="F151" s="400">
        <v>1</v>
      </c>
    </row>
    <row r="152" spans="1:9" x14ac:dyDescent="0.25">
      <c r="A152" t="s">
        <v>780</v>
      </c>
      <c r="D152" s="404" t="s">
        <v>881</v>
      </c>
      <c r="E152" s="400"/>
      <c r="F152" s="400" t="s">
        <v>867</v>
      </c>
    </row>
    <row r="153" spans="1:9" x14ac:dyDescent="0.25">
      <c r="A153" t="s">
        <v>780</v>
      </c>
      <c r="D153" s="404" t="s">
        <v>882</v>
      </c>
      <c r="E153" s="400"/>
      <c r="F153" s="400" t="s">
        <v>868</v>
      </c>
    </row>
    <row r="154" spans="1:9" x14ac:dyDescent="0.25">
      <c r="E154" s="400"/>
      <c r="F154" s="400"/>
    </row>
    <row r="156" spans="1:9" s="424" customFormat="1" x14ac:dyDescent="0.25">
      <c r="A156" s="184" t="s">
        <v>970</v>
      </c>
      <c r="I156" s="184"/>
    </row>
    <row r="157" spans="1:9" x14ac:dyDescent="0.25">
      <c r="A157" s="472" t="s">
        <v>971</v>
      </c>
    </row>
    <row r="158" spans="1:9" x14ac:dyDescent="0.25">
      <c r="A158" t="s">
        <v>780</v>
      </c>
      <c r="D158" t="s">
        <v>736</v>
      </c>
      <c r="E158" s="400" t="s">
        <v>967</v>
      </c>
      <c r="F158" s="400">
        <v>1</v>
      </c>
    </row>
    <row r="159" spans="1:9" ht="14.4" x14ac:dyDescent="0.3">
      <c r="A159" t="s">
        <v>780</v>
      </c>
      <c r="D159" t="s">
        <v>968</v>
      </c>
      <c r="E159" s="400" t="s">
        <v>969</v>
      </c>
      <c r="F159" s="400">
        <v>1</v>
      </c>
      <c r="I159" s="191"/>
    </row>
    <row r="162" spans="1:16" s="424" customFormat="1" ht="14.4" x14ac:dyDescent="0.3">
      <c r="A162" s="424" t="s">
        <v>1075</v>
      </c>
      <c r="J162" s="424" t="s">
        <v>790</v>
      </c>
      <c r="K162" s="481"/>
      <c r="L162" s="239"/>
      <c r="M162" s="481"/>
      <c r="N162" s="239"/>
    </row>
    <row r="163" spans="1:16" ht="14.4" x14ac:dyDescent="0.3">
      <c r="A163" s="570" t="s">
        <v>1076</v>
      </c>
      <c r="B163" s="570"/>
      <c r="F163" s="482" t="s">
        <v>1077</v>
      </c>
      <c r="K163" s="193"/>
      <c r="L163" s="473"/>
      <c r="M163" s="193"/>
      <c r="N163" s="473"/>
    </row>
    <row r="164" spans="1:16" ht="14.4" x14ac:dyDescent="0.3">
      <c r="A164" s="233" t="s">
        <v>740</v>
      </c>
      <c r="B164" s="233"/>
      <c r="C164" s="233" t="s">
        <v>741</v>
      </c>
      <c r="D164" s="233"/>
      <c r="E164" s="233" t="s">
        <v>742</v>
      </c>
      <c r="F164" s="233" t="s">
        <v>742</v>
      </c>
      <c r="J164" s="190" t="s">
        <v>785</v>
      </c>
      <c r="K164" s="190" t="s">
        <v>786</v>
      </c>
      <c r="L164" s="190" t="s">
        <v>787</v>
      </c>
      <c r="M164" s="191"/>
      <c r="N164" s="192" t="s">
        <v>554</v>
      </c>
      <c r="P164" s="191" t="s">
        <v>1078</v>
      </c>
    </row>
    <row r="165" spans="1:16" x14ac:dyDescent="0.25">
      <c r="A165" t="s">
        <v>743</v>
      </c>
      <c r="B165" t="s">
        <v>744</v>
      </c>
      <c r="E165" t="s">
        <v>745</v>
      </c>
      <c r="G165">
        <v>0</v>
      </c>
      <c r="H165" t="s">
        <v>746</v>
      </c>
      <c r="J165" t="s">
        <v>788</v>
      </c>
    </row>
    <row r="166" spans="1:16" ht="14.4" x14ac:dyDescent="0.3">
      <c r="A166" t="s">
        <v>743</v>
      </c>
      <c r="C166" t="s">
        <v>747</v>
      </c>
      <c r="E166" s="483" t="s">
        <v>748</v>
      </c>
      <c r="F166" s="482" t="s">
        <v>1079</v>
      </c>
      <c r="G166">
        <v>1</v>
      </c>
      <c r="K166" t="s">
        <v>789</v>
      </c>
      <c r="O166" s="234" t="s">
        <v>1080</v>
      </c>
      <c r="P166" s="234"/>
    </row>
    <row r="167" spans="1:16" x14ac:dyDescent="0.25">
      <c r="A167" t="s">
        <v>749</v>
      </c>
      <c r="D167" t="s">
        <v>586</v>
      </c>
      <c r="E167" s="483" t="s">
        <v>737</v>
      </c>
      <c r="F167" s="482" t="s">
        <v>1081</v>
      </c>
      <c r="G167">
        <v>1</v>
      </c>
      <c r="L167" t="s">
        <v>585</v>
      </c>
      <c r="M167" s="483"/>
      <c r="N167" s="483" t="s">
        <v>710</v>
      </c>
      <c r="O167" s="482"/>
      <c r="P167" s="482" t="s">
        <v>1082</v>
      </c>
    </row>
    <row r="168" spans="1:16" x14ac:dyDescent="0.25">
      <c r="A168" t="s">
        <v>749</v>
      </c>
      <c r="D168" t="s">
        <v>729</v>
      </c>
      <c r="E168" s="483" t="s">
        <v>750</v>
      </c>
      <c r="F168" s="482" t="s">
        <v>1083</v>
      </c>
      <c r="G168">
        <v>1</v>
      </c>
      <c r="L168" t="s">
        <v>671</v>
      </c>
      <c r="N168" t="s">
        <v>711</v>
      </c>
    </row>
    <row r="169" spans="1:16" x14ac:dyDescent="0.25">
      <c r="A169" t="s">
        <v>749</v>
      </c>
      <c r="D169" t="s">
        <v>730</v>
      </c>
      <c r="E169" s="483" t="s">
        <v>751</v>
      </c>
      <c r="F169" s="482" t="s">
        <v>1084</v>
      </c>
      <c r="G169">
        <v>1</v>
      </c>
      <c r="L169" t="s">
        <v>672</v>
      </c>
      <c r="N169" t="s">
        <v>712</v>
      </c>
    </row>
    <row r="170" spans="1:16" x14ac:dyDescent="0.25">
      <c r="A170" t="s">
        <v>749</v>
      </c>
      <c r="D170" t="s">
        <v>731</v>
      </c>
      <c r="E170" s="483" t="s">
        <v>752</v>
      </c>
      <c r="F170" s="482" t="s">
        <v>1085</v>
      </c>
      <c r="G170">
        <v>1</v>
      </c>
      <c r="L170" t="s">
        <v>673</v>
      </c>
      <c r="N170" t="s">
        <v>713</v>
      </c>
    </row>
    <row r="171" spans="1:16" x14ac:dyDescent="0.25">
      <c r="A171" t="s">
        <v>749</v>
      </c>
      <c r="D171" t="s">
        <v>732</v>
      </c>
      <c r="E171" s="483" t="s">
        <v>753</v>
      </c>
      <c r="F171" s="482" t="s">
        <v>1086</v>
      </c>
      <c r="G171">
        <v>1</v>
      </c>
      <c r="L171" t="s">
        <v>674</v>
      </c>
      <c r="N171" t="s">
        <v>714</v>
      </c>
    </row>
    <row r="172" spans="1:16" x14ac:dyDescent="0.25">
      <c r="A172" t="s">
        <v>749</v>
      </c>
      <c r="D172" t="s">
        <v>733</v>
      </c>
      <c r="E172" s="483" t="s">
        <v>754</v>
      </c>
      <c r="F172" s="482" t="s">
        <v>1087</v>
      </c>
      <c r="G172">
        <v>1</v>
      </c>
      <c r="L172" t="s">
        <v>675</v>
      </c>
      <c r="M172" s="483"/>
      <c r="N172" s="483" t="s">
        <v>715</v>
      </c>
      <c r="O172" s="482"/>
      <c r="P172" s="482" t="s">
        <v>1088</v>
      </c>
    </row>
    <row r="175" spans="1:16" x14ac:dyDescent="0.25">
      <c r="A175" s="484" t="s">
        <v>971</v>
      </c>
      <c r="H175" s="485"/>
    </row>
    <row r="176" spans="1:16" ht="14.4" x14ac:dyDescent="0.3">
      <c r="A176" s="233" t="s">
        <v>740</v>
      </c>
      <c r="B176" s="233"/>
      <c r="C176" s="233" t="s">
        <v>741</v>
      </c>
      <c r="D176" s="233"/>
      <c r="E176" s="234" t="s">
        <v>742</v>
      </c>
      <c r="H176" s="485"/>
    </row>
    <row r="177" spans="1:7" x14ac:dyDescent="0.25">
      <c r="A177" s="486" t="s">
        <v>780</v>
      </c>
      <c r="D177" t="s">
        <v>1089</v>
      </c>
      <c r="E177" s="400" t="s">
        <v>1090</v>
      </c>
      <c r="F177" s="400"/>
      <c r="G177" s="400">
        <v>1</v>
      </c>
    </row>
    <row r="178" spans="1:7" x14ac:dyDescent="0.25">
      <c r="A178" s="486" t="s">
        <v>780</v>
      </c>
      <c r="D178" t="s">
        <v>1091</v>
      </c>
      <c r="E178" s="400" t="s">
        <v>1092</v>
      </c>
      <c r="F178" s="400"/>
      <c r="G178" s="400">
        <v>1</v>
      </c>
    </row>
    <row r="182" spans="1:7" s="424" customFormat="1" x14ac:dyDescent="0.25">
      <c r="A182" s="424" t="s">
        <v>1105</v>
      </c>
    </row>
    <row r="183" spans="1:7" x14ac:dyDescent="0.25">
      <c r="A183" s="484" t="s">
        <v>971</v>
      </c>
    </row>
    <row r="184" spans="1:7" ht="14.4" x14ac:dyDescent="0.3">
      <c r="A184" s="233" t="s">
        <v>740</v>
      </c>
      <c r="B184" s="233"/>
      <c r="C184" s="233" t="s">
        <v>741</v>
      </c>
      <c r="D184" s="233"/>
      <c r="E184" s="234" t="s">
        <v>742</v>
      </c>
    </row>
    <row r="185" spans="1:7" x14ac:dyDescent="0.25">
      <c r="A185" s="486" t="s">
        <v>780</v>
      </c>
      <c r="D185" s="404" t="s">
        <v>1107</v>
      </c>
      <c r="E185" s="400" t="s">
        <v>1106</v>
      </c>
      <c r="F185" s="400"/>
      <c r="G185" s="400">
        <v>1</v>
      </c>
    </row>
    <row r="186" spans="1:7" x14ac:dyDescent="0.25">
      <c r="A186" s="486" t="s">
        <v>780</v>
      </c>
      <c r="D186" s="404" t="s">
        <v>1109</v>
      </c>
      <c r="E186" s="400" t="s">
        <v>1108</v>
      </c>
      <c r="F186" s="400"/>
      <c r="G186" s="400">
        <v>1</v>
      </c>
    </row>
    <row r="189" spans="1:7" s="424" customFormat="1" x14ac:dyDescent="0.25">
      <c r="A189" s="184" t="s">
        <v>1115</v>
      </c>
    </row>
    <row r="190" spans="1:7" x14ac:dyDescent="0.25">
      <c r="A190" s="484" t="s">
        <v>971</v>
      </c>
    </row>
    <row r="191" spans="1:7" ht="14.4" x14ac:dyDescent="0.3">
      <c r="A191" s="233" t="s">
        <v>740</v>
      </c>
      <c r="B191" s="233"/>
      <c r="C191" s="233" t="s">
        <v>741</v>
      </c>
      <c r="D191" s="233"/>
      <c r="E191" s="234" t="s">
        <v>742</v>
      </c>
    </row>
    <row r="192" spans="1:7" x14ac:dyDescent="0.25">
      <c r="A192" t="s">
        <v>780</v>
      </c>
      <c r="D192" s="404" t="s">
        <v>1117</v>
      </c>
      <c r="E192" s="400" t="s">
        <v>1116</v>
      </c>
      <c r="F192" s="400">
        <v>1</v>
      </c>
    </row>
    <row r="193" spans="1:7" ht="13.8" thickBot="1" x14ac:dyDescent="0.3"/>
    <row r="194" spans="1:7" x14ac:dyDescent="0.25">
      <c r="A194" s="494"/>
      <c r="B194" s="495"/>
      <c r="C194" s="495"/>
      <c r="D194" s="495"/>
      <c r="E194" s="495"/>
      <c r="F194" s="495"/>
      <c r="G194" s="496"/>
    </row>
    <row r="195" spans="1:7" s="424" customFormat="1" x14ac:dyDescent="0.25">
      <c r="A195" s="497" t="s">
        <v>1126</v>
      </c>
      <c r="G195" s="498"/>
    </row>
    <row r="196" spans="1:7" x14ac:dyDescent="0.25">
      <c r="A196" s="484" t="s">
        <v>971</v>
      </c>
      <c r="G196" s="485"/>
    </row>
    <row r="197" spans="1:7" ht="14.4" x14ac:dyDescent="0.3">
      <c r="A197" s="499" t="s">
        <v>740</v>
      </c>
      <c r="B197" s="233"/>
      <c r="C197" s="233" t="s">
        <v>741</v>
      </c>
      <c r="D197" s="233"/>
      <c r="E197" s="234" t="s">
        <v>742</v>
      </c>
      <c r="G197" s="485"/>
    </row>
    <row r="198" spans="1:7" x14ac:dyDescent="0.25">
      <c r="A198" s="486" t="s">
        <v>780</v>
      </c>
      <c r="D198" s="404" t="s">
        <v>1127</v>
      </c>
      <c r="E198" s="400" t="s">
        <v>14</v>
      </c>
      <c r="F198" s="400">
        <v>1</v>
      </c>
      <c r="G198" s="485"/>
    </row>
    <row r="199" spans="1:7" x14ac:dyDescent="0.25">
      <c r="A199" s="486" t="s">
        <v>780</v>
      </c>
      <c r="D199" s="404" t="s">
        <v>1128</v>
      </c>
      <c r="E199" s="400" t="s">
        <v>1129</v>
      </c>
      <c r="F199" s="400">
        <v>1</v>
      </c>
      <c r="G199" s="485"/>
    </row>
    <row r="200" spans="1:7" x14ac:dyDescent="0.25">
      <c r="A200" s="486"/>
      <c r="G200" s="485"/>
    </row>
    <row r="201" spans="1:7" ht="13.8" thickBot="1" x14ac:dyDescent="0.3">
      <c r="A201" s="500"/>
      <c r="B201" s="501"/>
      <c r="C201" s="501"/>
      <c r="D201" s="501"/>
      <c r="E201" s="501"/>
      <c r="F201" s="501"/>
      <c r="G201" s="502"/>
    </row>
  </sheetData>
  <autoFilter ref="A1:D450" xr:uid="{13F89700-F3DE-4429-A144-6C130FAD7BAE}"/>
  <mergeCells count="2">
    <mergeCell ref="A111:F111"/>
    <mergeCell ref="A163:B163"/>
  </mergeCells>
  <conditionalFormatting sqref="C6">
    <cfRule type="expression" priority="118">
      <formula>CELL("protect", INDIRECT(ADDRESS(ROW(),COLUMN())))=1</formula>
    </cfRule>
  </conditionalFormatting>
  <conditionalFormatting sqref="C79">
    <cfRule type="expression" priority="95">
      <formula>CELL("protect", INDIRECT(ADDRESS(ROW(),COLUMN())))=1</formula>
    </cfRule>
  </conditionalFormatting>
  <conditionalFormatting sqref="D11 C13:D13">
    <cfRule type="expression" priority="113">
      <formula>CELL("protect", INDIRECT(ADDRESS(ROW(),COLUMN())))=1</formula>
    </cfRule>
  </conditionalFormatting>
  <conditionalFormatting sqref="D29 D31">
    <cfRule type="expression" priority="119">
      <formula>CELL("protect", INDIRECT(ADDRESS(ROW(),COLUMN())))=1</formula>
    </cfRule>
  </conditionalFormatting>
  <conditionalFormatting sqref="D84 C86:D86">
    <cfRule type="expression" priority="90">
      <formula>CELL("protect", INDIRECT(ADDRESS(ROW(),COLUMN())))=1</formula>
    </cfRule>
  </conditionalFormatting>
  <conditionalFormatting sqref="D102 D104">
    <cfRule type="expression" priority="96">
      <formula>CELL("protect", INDIRECT(ADDRESS(ROW(),COLUMN())))=1</formula>
    </cfRule>
  </conditionalFormatting>
  <conditionalFormatting sqref="E32:E37 E38:F40">
    <cfRule type="expression" priority="114">
      <formula>CELL("protect", INDIRECT(ADDRESS(ROW(),COLUMN())))=1</formula>
    </cfRule>
  </conditionalFormatting>
  <conditionalFormatting sqref="E105:E110">
    <cfRule type="expression" priority="91">
      <formula>CELL("protect", INDIRECT(ADDRESS(ROW(),COLUMN())))=1</formula>
    </cfRule>
  </conditionalFormatting>
  <conditionalFormatting sqref="E120:E148">
    <cfRule type="expression" priority="39">
      <formula>CELL("protect", INDIRECT(ADDRESS(ROW(),COLUMN())))=1</formula>
    </cfRule>
  </conditionalFormatting>
  <conditionalFormatting sqref="E150:E154">
    <cfRule type="expression" priority="36">
      <formula>CELL("protect", INDIRECT(ADDRESS(ROW(),COLUMN())))=1</formula>
    </cfRule>
  </conditionalFormatting>
  <conditionalFormatting sqref="E112:F119">
    <cfRule type="expression" priority="50">
      <formula>CELL("protect", INDIRECT(ADDRESS(ROW(),COLUMN())))=1</formula>
    </cfRule>
  </conditionalFormatting>
  <conditionalFormatting sqref="E158:F159">
    <cfRule type="expression" priority="31">
      <formula>CELL("protect", INDIRECT(ADDRESS(ROW(),COLUMN())))=1</formula>
    </cfRule>
  </conditionalFormatting>
  <conditionalFormatting sqref="E192:F192">
    <cfRule type="expression" priority="6">
      <formula>CELL("protect", INDIRECT(ADDRESS(ROW(),COLUMN())))=1</formula>
    </cfRule>
  </conditionalFormatting>
  <conditionalFormatting sqref="E198:F199">
    <cfRule type="expression" priority="1">
      <formula>CELL("protect", INDIRECT(ADDRESS(ROW(),COLUMN())))=1</formula>
    </cfRule>
  </conditionalFormatting>
  <conditionalFormatting sqref="E177:G178">
    <cfRule type="expression" priority="21">
      <formula>CELL("protect", INDIRECT(ADDRESS(ROW(),COLUMN())))=1</formula>
    </cfRule>
  </conditionalFormatting>
  <conditionalFormatting sqref="E185:G186">
    <cfRule type="expression" priority="11">
      <formula>CELL("protect", INDIRECT(ADDRESS(ROW(),COLUMN())))=1</formula>
    </cfRule>
  </conditionalFormatting>
  <conditionalFormatting sqref="F41:F70">
    <cfRule type="expression" priority="109">
      <formula>CELL("protect", INDIRECT(ADDRESS(ROW(),COLUMN())))=1</formula>
    </cfRule>
  </conditionalFormatting>
  <conditionalFormatting sqref="F120:F154">
    <cfRule type="expression" priority="35">
      <formula>CELL("protect", INDIRECT(ADDRESS(ROW(),COLUMN())))=1</formula>
    </cfRule>
  </conditionalFormatting>
  <conditionalFormatting sqref="H41:H68">
    <cfRule type="expression" priority="110">
      <formula>CELL("protect", INDIRECT(ADDRESS(ROW(),COLUMN())))=1</formula>
    </cfRule>
  </conditionalFormatting>
  <conditionalFormatting sqref="H114:H149">
    <cfRule type="expression" priority="87">
      <formula>CELL("protect", INDIRECT(ADDRESS(ROW(),COLUMN())))=1</formula>
    </cfRule>
  </conditionalFormatting>
  <conditionalFormatting sqref="K7:K12">
    <cfRule type="expression" priority="103">
      <formula>CELL("protect", INDIRECT(ADDRESS(ROW(),COLUMN())))=1</formula>
    </cfRule>
  </conditionalFormatting>
  <conditionalFormatting sqref="K80:K85">
    <cfRule type="expression" priority="80">
      <formula>CELL("protect", INDIRECT(ADDRESS(ROW(),COLUMN())))=1</formula>
    </cfRule>
  </conditionalFormatting>
  <conditionalFormatting sqref="L162:L163">
    <cfRule type="expression" priority="29">
      <formula>CELL("protect", INDIRECT(ADDRESS(ROW(),COLUMN())))=1</formula>
    </cfRule>
  </conditionalFormatting>
  <conditionalFormatting sqref="L182">
    <cfRule type="expression" priority="14">
      <formula>CELL("protect", INDIRECT(ADDRESS(ROW(),COLUMN())))=1</formula>
    </cfRule>
  </conditionalFormatting>
  <conditionalFormatting sqref="L189">
    <cfRule type="expression" priority="9">
      <formula>CELL("protect", INDIRECT(ADDRESS(ROW(),COLUMN())))=1</formula>
    </cfRule>
  </conditionalFormatting>
  <conditionalFormatting sqref="L195">
    <cfRule type="expression" priority="5">
      <formula>CELL("protect", INDIRECT(ADDRESS(ROW(),COLUMN())))=1</formula>
    </cfRule>
  </conditionalFormatting>
  <conditionalFormatting sqref="M4:M12">
    <cfRule type="expression" priority="97">
      <formula>CELL("protect", INDIRECT(ADDRESS(ROW(),COLUMN())))=1</formula>
    </cfRule>
  </conditionalFormatting>
  <conditionalFormatting sqref="M77:M85">
    <cfRule type="expression" priority="74">
      <formula>CELL("protect", INDIRECT(ADDRESS(ROW(),COLUMN())))=1</formula>
    </cfRule>
  </conditionalFormatting>
  <conditionalFormatting sqref="M159:M161">
    <cfRule type="expression" priority="61">
      <formula>CELL("protect", INDIRECT(ADDRESS(ROW(),COLUMN())))=1</formula>
    </cfRule>
  </conditionalFormatting>
  <conditionalFormatting sqref="N162:N164">
    <cfRule type="expression" priority="20">
      <formula>CELL("protect", INDIRECT(ADDRESS(ROW(),COLUMN())))=1</formula>
    </cfRule>
  </conditionalFormatting>
  <conditionalFormatting sqref="N178">
    <cfRule type="expression" priority="26">
      <formula>CELL("protect", INDIRECT(ADDRESS(ROW(),COLUMN())))=1</formula>
    </cfRule>
  </conditionalFormatting>
  <conditionalFormatting sqref="N182">
    <cfRule type="expression" priority="13">
      <formula>CELL("protect", INDIRECT(ADDRESS(ROW(),COLUMN())))=1</formula>
    </cfRule>
  </conditionalFormatting>
  <conditionalFormatting sqref="N189">
    <cfRule type="expression" priority="8">
      <formula>CELL("protect", INDIRECT(ADDRESS(ROW(),COLUMN())))=1</formula>
    </cfRule>
  </conditionalFormatting>
  <conditionalFormatting sqref="N195">
    <cfRule type="expression" priority="4">
      <formula>CELL("protect", INDIRECT(ADDRESS(ROW(),COLUMN())))=1</formula>
    </cfRule>
  </conditionalFormatting>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B1:F51"/>
  <sheetViews>
    <sheetView workbookViewId="0">
      <selection activeCell="B23" sqref="B23"/>
    </sheetView>
  </sheetViews>
  <sheetFormatPr defaultRowHeight="13.2" x14ac:dyDescent="0.25"/>
  <cols>
    <col min="2" max="2" width="41.5546875" customWidth="1"/>
    <col min="5" max="5" width="34.77734375" customWidth="1"/>
  </cols>
  <sheetData>
    <row r="1" spans="2:6" x14ac:dyDescent="0.25">
      <c r="B1" s="88" t="s">
        <v>391</v>
      </c>
      <c r="E1" s="88"/>
    </row>
    <row r="2" spans="2:6" x14ac:dyDescent="0.25">
      <c r="B2" s="88"/>
      <c r="E2" s="88"/>
      <c r="F2" s="88"/>
    </row>
    <row r="3" spans="2:6" x14ac:dyDescent="0.25">
      <c r="B3" s="88" t="s">
        <v>418</v>
      </c>
      <c r="E3" s="88"/>
      <c r="F3" s="88"/>
    </row>
    <row r="4" spans="2:6" x14ac:dyDescent="0.25">
      <c r="B4" s="88" t="s">
        <v>419</v>
      </c>
      <c r="E4" s="88"/>
      <c r="F4" s="88"/>
    </row>
    <row r="5" spans="2:6" x14ac:dyDescent="0.25">
      <c r="B5" t="s">
        <v>405</v>
      </c>
    </row>
    <row r="6" spans="2:6" x14ac:dyDescent="0.25">
      <c r="B6" t="s">
        <v>869</v>
      </c>
    </row>
    <row r="7" spans="2:6" x14ac:dyDescent="0.25">
      <c r="B7" s="88" t="s">
        <v>464</v>
      </c>
      <c r="E7" s="88"/>
      <c r="F7" s="88"/>
    </row>
    <row r="8" spans="2:6" x14ac:dyDescent="0.25">
      <c r="B8" s="88" t="s">
        <v>954</v>
      </c>
      <c r="E8" s="88"/>
      <c r="F8" s="88"/>
    </row>
    <row r="9" spans="2:6" x14ac:dyDescent="0.25">
      <c r="B9" s="88" t="s">
        <v>420</v>
      </c>
      <c r="E9" s="88"/>
      <c r="F9" s="88"/>
    </row>
    <row r="10" spans="2:6" x14ac:dyDescent="0.25">
      <c r="B10" s="88" t="s">
        <v>421</v>
      </c>
      <c r="E10" s="88"/>
      <c r="F10" s="88"/>
    </row>
    <row r="11" spans="2:6" x14ac:dyDescent="0.25">
      <c r="B11" s="88" t="s">
        <v>422</v>
      </c>
      <c r="E11" s="88"/>
      <c r="F11" s="88"/>
    </row>
    <row r="12" spans="2:6" x14ac:dyDescent="0.25">
      <c r="B12" s="88" t="s">
        <v>423</v>
      </c>
      <c r="E12" s="88"/>
      <c r="F12" s="88"/>
    </row>
    <row r="13" spans="2:6" x14ac:dyDescent="0.25">
      <c r="B13" t="s">
        <v>465</v>
      </c>
    </row>
    <row r="14" spans="2:6" x14ac:dyDescent="0.25">
      <c r="B14" s="88" t="s">
        <v>466</v>
      </c>
    </row>
    <row r="15" spans="2:6" x14ac:dyDescent="0.25">
      <c r="B15" t="s">
        <v>413</v>
      </c>
    </row>
    <row r="16" spans="2:6" x14ac:dyDescent="0.25">
      <c r="B16" t="s">
        <v>951</v>
      </c>
    </row>
    <row r="17" spans="2:6" x14ac:dyDescent="0.25">
      <c r="B17" t="s">
        <v>15</v>
      </c>
    </row>
    <row r="18" spans="2:6" x14ac:dyDescent="0.25">
      <c r="B18" t="s">
        <v>682</v>
      </c>
      <c r="E18" s="88"/>
    </row>
    <row r="19" spans="2:6" x14ac:dyDescent="0.25">
      <c r="B19" t="s">
        <v>683</v>
      </c>
      <c r="E19" s="88"/>
    </row>
    <row r="20" spans="2:6" x14ac:dyDescent="0.25">
      <c r="B20" t="s">
        <v>103</v>
      </c>
    </row>
    <row r="21" spans="2:6" x14ac:dyDescent="0.25">
      <c r="B21" t="s">
        <v>408</v>
      </c>
    </row>
    <row r="22" spans="2:6" x14ac:dyDescent="0.25">
      <c r="B22" t="s">
        <v>966</v>
      </c>
    </row>
    <row r="23" spans="2:6" x14ac:dyDescent="0.25">
      <c r="B23" s="88" t="s">
        <v>38</v>
      </c>
      <c r="E23" s="88"/>
      <c r="F23" s="88"/>
    </row>
    <row r="24" spans="2:6" x14ac:dyDescent="0.25">
      <c r="B24" s="88" t="s">
        <v>414</v>
      </c>
      <c r="E24" s="88"/>
      <c r="F24" s="88"/>
    </row>
    <row r="25" spans="2:6" x14ac:dyDescent="0.25">
      <c r="B25" s="88" t="s">
        <v>918</v>
      </c>
    </row>
    <row r="26" spans="2:6" x14ac:dyDescent="0.25">
      <c r="B26" s="88" t="s">
        <v>919</v>
      </c>
    </row>
    <row r="27" spans="2:6" x14ac:dyDescent="0.25">
      <c r="B27" t="s">
        <v>684</v>
      </c>
    </row>
    <row r="28" spans="2:6" x14ac:dyDescent="0.25">
      <c r="B28" t="s">
        <v>893</v>
      </c>
    </row>
    <row r="29" spans="2:6" x14ac:dyDescent="0.25">
      <c r="B29" t="s">
        <v>956</v>
      </c>
    </row>
    <row r="30" spans="2:6" x14ac:dyDescent="0.25">
      <c r="B30" s="88" t="s">
        <v>409</v>
      </c>
      <c r="E30" s="88"/>
      <c r="F30" s="88"/>
    </row>
    <row r="31" spans="2:6" x14ac:dyDescent="0.25">
      <c r="B31" s="88" t="s">
        <v>95</v>
      </c>
      <c r="E31" s="88"/>
      <c r="F31" s="88"/>
    </row>
    <row r="32" spans="2:6" x14ac:dyDescent="0.25">
      <c r="B32" t="s">
        <v>93</v>
      </c>
    </row>
    <row r="33" spans="2:6" x14ac:dyDescent="0.25">
      <c r="B33" t="s">
        <v>957</v>
      </c>
    </row>
    <row r="34" spans="2:6" x14ac:dyDescent="0.25">
      <c r="B34" s="88" t="s">
        <v>406</v>
      </c>
      <c r="E34" s="88"/>
      <c r="F34" s="88"/>
    </row>
    <row r="35" spans="2:6" x14ac:dyDescent="0.25">
      <c r="B35" s="88" t="s">
        <v>407</v>
      </c>
      <c r="E35" s="88"/>
      <c r="F35" s="88"/>
    </row>
    <row r="36" spans="2:6" x14ac:dyDescent="0.25">
      <c r="B36" s="88" t="s">
        <v>922</v>
      </c>
      <c r="E36" s="88"/>
      <c r="F36" s="88"/>
    </row>
    <row r="37" spans="2:6" x14ac:dyDescent="0.25">
      <c r="B37" t="s">
        <v>895</v>
      </c>
      <c r="E37" s="88"/>
      <c r="F37" s="88"/>
    </row>
    <row r="38" spans="2:6" x14ac:dyDescent="0.25">
      <c r="B38" t="s">
        <v>896</v>
      </c>
      <c r="E38" s="88"/>
      <c r="F38" s="88"/>
    </row>
    <row r="39" spans="2:6" x14ac:dyDescent="0.25">
      <c r="B39" s="88" t="s">
        <v>667</v>
      </c>
      <c r="E39" s="88"/>
      <c r="F39" s="88"/>
    </row>
    <row r="40" spans="2:6" x14ac:dyDescent="0.25">
      <c r="B40" t="s">
        <v>784</v>
      </c>
    </row>
    <row r="41" spans="2:6" x14ac:dyDescent="0.25">
      <c r="B41" t="s">
        <v>958</v>
      </c>
    </row>
    <row r="42" spans="2:6" x14ac:dyDescent="0.25">
      <c r="B42" t="s">
        <v>959</v>
      </c>
    </row>
    <row r="44" spans="2:6" x14ac:dyDescent="0.25">
      <c r="B44" s="400" t="s">
        <v>967</v>
      </c>
    </row>
    <row r="45" spans="2:6" x14ac:dyDescent="0.25">
      <c r="B45" s="400" t="s">
        <v>969</v>
      </c>
    </row>
    <row r="47" spans="2:6" x14ac:dyDescent="0.25">
      <c r="B47" s="400" t="s">
        <v>1090</v>
      </c>
    </row>
    <row r="48" spans="2:6" x14ac:dyDescent="0.25">
      <c r="B48" s="400" t="s">
        <v>1092</v>
      </c>
    </row>
    <row r="50" spans="2:2" x14ac:dyDescent="0.25">
      <c r="B50" s="400" t="s">
        <v>1106</v>
      </c>
    </row>
    <row r="51" spans="2:2" x14ac:dyDescent="0.25">
      <c r="B51" s="400" t="s">
        <v>1108</v>
      </c>
    </row>
  </sheetData>
  <sheetProtection algorithmName="SHA-512" hashValue="tGwpJ8u99UM57QJ4BgmGzU4Y7pdW2rEOj03yocFlEbPQWMXndhcvuT/oSGR0zPNcSK5JQ/uWkTNePGUJSwJKGw==" saltValue="sVlBqq+cZ7uPqePjJcE9FA==" spinCount="100000" sheet="1" objects="1" scenarios="1"/>
  <sortState xmlns:xlrd2="http://schemas.microsoft.com/office/spreadsheetml/2017/richdata2" ref="B3:B25">
    <sortCondition ref="B3"/>
  </sortState>
  <conditionalFormatting sqref="B44:B45">
    <cfRule type="expression" priority="2">
      <formula>CELL("protect", INDIRECT(ADDRESS(ROW(),COLUMN())))=1</formula>
    </cfRule>
  </conditionalFormatting>
  <conditionalFormatting sqref="B47:B48">
    <cfRule type="expression" priority="6">
      <formula>CELL("protect", INDIRECT(ADDRESS(ROW(),COLUMN())))=1</formula>
    </cfRule>
  </conditionalFormatting>
  <conditionalFormatting sqref="B50:B51">
    <cfRule type="expression" priority="1">
      <formula>CELL("protect", INDIRECT(ADDRESS(ROW(),COLUMN())))=1</formula>
    </cfRule>
  </conditionalFormatting>
  <conditionalFormatting sqref="E18:E19">
    <cfRule type="expression" priority="4">
      <formula>CELL("protect", INDIRECT(ADDRESS(ROW(),COLUMN())))=1</formula>
    </cfRule>
  </conditionalFormatting>
  <conditionalFormatting sqref="E1:F2">
    <cfRule type="expression" priority="14">
      <formula>CELL("protect", INDIRECT(ADDRESS(ROW(),COLUMN())))=1</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R130"/>
  <sheetViews>
    <sheetView zoomScaleNormal="100" workbookViewId="0">
      <selection activeCell="B10" sqref="B10"/>
    </sheetView>
  </sheetViews>
  <sheetFormatPr defaultColWidth="9.44140625" defaultRowHeight="13.2" x14ac:dyDescent="0.25"/>
  <cols>
    <col min="1" max="1" width="11" bestFit="1" customWidth="1"/>
    <col min="2" max="2" width="56.44140625" bestFit="1" customWidth="1"/>
    <col min="3" max="3" width="14" bestFit="1" customWidth="1"/>
    <col min="4" max="16384" width="9.44140625" style="105"/>
  </cols>
  <sheetData>
    <row r="1" spans="1:18" ht="28.8" x14ac:dyDescent="0.3">
      <c r="A1" s="487" t="s">
        <v>928</v>
      </c>
      <c r="B1" s="465" t="s">
        <v>929</v>
      </c>
      <c r="C1" s="465" t="s">
        <v>930</v>
      </c>
      <c r="E1" s="106" t="s">
        <v>0</v>
      </c>
      <c r="F1" s="106"/>
      <c r="G1" s="106" t="s">
        <v>59</v>
      </c>
      <c r="I1" s="490"/>
      <c r="J1" s="491" t="s">
        <v>1125</v>
      </c>
      <c r="K1" s="491"/>
      <c r="L1" s="490"/>
    </row>
    <row r="2" spans="1:18" ht="14.4" x14ac:dyDescent="0.3">
      <c r="A2" s="488">
        <v>15100</v>
      </c>
      <c r="B2" s="233" t="s">
        <v>807</v>
      </c>
      <c r="C2" t="s">
        <v>808</v>
      </c>
      <c r="E2" s="106"/>
      <c r="F2" s="106"/>
      <c r="G2" s="106" t="s">
        <v>60</v>
      </c>
      <c r="I2" s="105" t="s">
        <v>356</v>
      </c>
      <c r="M2" s="492"/>
      <c r="N2" s="492"/>
      <c r="O2" s="492"/>
      <c r="P2" s="492"/>
      <c r="Q2" s="492"/>
      <c r="R2" s="492"/>
    </row>
    <row r="3" spans="1:18" ht="24" customHeight="1" x14ac:dyDescent="0.3">
      <c r="A3" s="488">
        <v>15300</v>
      </c>
      <c r="B3" s="233" t="s">
        <v>809</v>
      </c>
      <c r="C3" t="s">
        <v>810</v>
      </c>
      <c r="E3" s="106"/>
      <c r="F3" s="106"/>
      <c r="G3" s="106"/>
      <c r="I3" s="105" t="s">
        <v>357</v>
      </c>
    </row>
    <row r="4" spans="1:18" ht="14.4" x14ac:dyDescent="0.3">
      <c r="A4" s="489">
        <v>26000</v>
      </c>
      <c r="B4" s="233" t="s">
        <v>1093</v>
      </c>
      <c r="C4" t="s">
        <v>1094</v>
      </c>
      <c r="I4" s="105" t="s">
        <v>358</v>
      </c>
    </row>
    <row r="5" spans="1:18" ht="14.4" x14ac:dyDescent="0.3">
      <c r="A5" s="488">
        <v>40200</v>
      </c>
      <c r="B5" s="233" t="s">
        <v>468</v>
      </c>
      <c r="C5" t="s">
        <v>227</v>
      </c>
      <c r="G5" s="105" t="s">
        <v>343</v>
      </c>
      <c r="I5" s="105" t="s">
        <v>364</v>
      </c>
    </row>
    <row r="6" spans="1:18" ht="14.4" x14ac:dyDescent="0.3">
      <c r="A6" s="489" t="s">
        <v>1112</v>
      </c>
      <c r="B6" s="233" t="s">
        <v>1113</v>
      </c>
      <c r="C6" t="s">
        <v>1103</v>
      </c>
      <c r="G6" s="105" t="s">
        <v>342</v>
      </c>
      <c r="I6" s="105" t="s">
        <v>359</v>
      </c>
    </row>
    <row r="7" spans="1:18" ht="14.4" x14ac:dyDescent="0.3">
      <c r="A7" s="489" t="s">
        <v>1110</v>
      </c>
      <c r="B7" s="233" t="s">
        <v>1111</v>
      </c>
      <c r="C7" t="s">
        <v>1102</v>
      </c>
    </row>
    <row r="8" spans="1:18" ht="14.4" x14ac:dyDescent="0.3">
      <c r="A8" s="488" t="s">
        <v>931</v>
      </c>
      <c r="B8" s="233" t="s">
        <v>469</v>
      </c>
      <c r="C8" t="s">
        <v>349</v>
      </c>
    </row>
    <row r="9" spans="1:18" ht="14.4" x14ac:dyDescent="0.3">
      <c r="A9" s="488" t="s">
        <v>932</v>
      </c>
      <c r="B9" s="233" t="s">
        <v>470</v>
      </c>
      <c r="C9" t="s">
        <v>471</v>
      </c>
    </row>
    <row r="10" spans="1:18" ht="14.4" x14ac:dyDescent="0.3">
      <c r="A10" s="488" t="s">
        <v>933</v>
      </c>
      <c r="B10" s="233" t="s">
        <v>472</v>
      </c>
      <c r="C10" t="s">
        <v>473</v>
      </c>
    </row>
    <row r="11" spans="1:18" ht="14.4" x14ac:dyDescent="0.3">
      <c r="A11" s="489" t="s">
        <v>1135</v>
      </c>
      <c r="B11" s="233" t="s">
        <v>1136</v>
      </c>
      <c r="C11" t="s">
        <v>1137</v>
      </c>
    </row>
    <row r="12" spans="1:18" ht="14.4" x14ac:dyDescent="0.3">
      <c r="A12" s="488">
        <v>40400</v>
      </c>
      <c r="B12" s="233" t="s">
        <v>1138</v>
      </c>
      <c r="C12" t="s">
        <v>228</v>
      </c>
    </row>
    <row r="13" spans="1:18" ht="14.4" x14ac:dyDescent="0.3">
      <c r="A13" s="488">
        <v>40500</v>
      </c>
      <c r="B13" s="233" t="s">
        <v>474</v>
      </c>
      <c r="C13" t="s">
        <v>318</v>
      </c>
    </row>
    <row r="14" spans="1:18" ht="14.4" x14ac:dyDescent="0.3">
      <c r="A14" s="488">
        <v>40600</v>
      </c>
      <c r="B14" s="233" t="s">
        <v>475</v>
      </c>
      <c r="C14" t="s">
        <v>229</v>
      </c>
    </row>
    <row r="15" spans="1:18" ht="14.4" x14ac:dyDescent="0.3">
      <c r="A15" s="488">
        <v>40700</v>
      </c>
      <c r="B15" s="233" t="s">
        <v>476</v>
      </c>
      <c r="C15" t="s">
        <v>230</v>
      </c>
    </row>
    <row r="16" spans="1:18" ht="14.4" x14ac:dyDescent="0.3">
      <c r="A16" s="489" t="s">
        <v>1139</v>
      </c>
      <c r="B16" s="233" t="s">
        <v>1140</v>
      </c>
      <c r="C16" t="s">
        <v>231</v>
      </c>
    </row>
    <row r="17" spans="1:3" ht="14.4" x14ac:dyDescent="0.3">
      <c r="A17" s="489" t="s">
        <v>1141</v>
      </c>
      <c r="B17" s="233" t="s">
        <v>1142</v>
      </c>
      <c r="C17" t="s">
        <v>1143</v>
      </c>
    </row>
    <row r="18" spans="1:3" ht="14.4" x14ac:dyDescent="0.3">
      <c r="A18" s="488">
        <v>40900</v>
      </c>
      <c r="B18" s="233" t="s">
        <v>477</v>
      </c>
      <c r="C18" t="s">
        <v>232</v>
      </c>
    </row>
    <row r="19" spans="1:3" ht="14.4" x14ac:dyDescent="0.3">
      <c r="A19" s="488">
        <v>41000</v>
      </c>
      <c r="B19" s="233" t="s">
        <v>478</v>
      </c>
      <c r="C19" t="s">
        <v>233</v>
      </c>
    </row>
    <row r="20" spans="1:3" ht="14.4" x14ac:dyDescent="0.3">
      <c r="A20" s="488">
        <v>41100</v>
      </c>
      <c r="B20" s="233" t="s">
        <v>479</v>
      </c>
      <c r="C20" t="s">
        <v>234</v>
      </c>
    </row>
    <row r="21" spans="1:3" ht="14.4" x14ac:dyDescent="0.3">
      <c r="A21" s="489">
        <v>41200</v>
      </c>
      <c r="B21" s="233" t="s">
        <v>1144</v>
      </c>
      <c r="C21" t="s">
        <v>1095</v>
      </c>
    </row>
    <row r="22" spans="1:3" ht="14.4" x14ac:dyDescent="0.3">
      <c r="A22" s="488">
        <v>41400</v>
      </c>
      <c r="B22" s="233" t="s">
        <v>480</v>
      </c>
      <c r="C22" t="s">
        <v>235</v>
      </c>
    </row>
    <row r="23" spans="1:3" ht="14.4" x14ac:dyDescent="0.3">
      <c r="A23" s="488">
        <v>41500</v>
      </c>
      <c r="B23" s="233" t="s">
        <v>210</v>
      </c>
      <c r="C23" t="s">
        <v>236</v>
      </c>
    </row>
    <row r="24" spans="1:3" ht="14.4" x14ac:dyDescent="0.3">
      <c r="A24" s="488">
        <v>41600</v>
      </c>
      <c r="B24" s="233" t="s">
        <v>211</v>
      </c>
      <c r="C24" t="s">
        <v>237</v>
      </c>
    </row>
    <row r="25" spans="1:3" ht="14.4" x14ac:dyDescent="0.3">
      <c r="A25" s="488">
        <v>41700</v>
      </c>
      <c r="B25" s="233" t="s">
        <v>1154</v>
      </c>
      <c r="C25" t="s">
        <v>1155</v>
      </c>
    </row>
    <row r="26" spans="1:3" ht="14.4" x14ac:dyDescent="0.3">
      <c r="A26" s="488">
        <v>41800</v>
      </c>
      <c r="B26" s="233" t="s">
        <v>1096</v>
      </c>
      <c r="C26" t="s">
        <v>238</v>
      </c>
    </row>
    <row r="27" spans="1:3" ht="14.4" x14ac:dyDescent="0.3">
      <c r="A27" s="488" t="s">
        <v>934</v>
      </c>
      <c r="B27" s="233" t="s">
        <v>935</v>
      </c>
      <c r="C27" t="s">
        <v>239</v>
      </c>
    </row>
    <row r="28" spans="1:3" ht="14.4" x14ac:dyDescent="0.3">
      <c r="A28" s="488" t="s">
        <v>936</v>
      </c>
      <c r="B28" s="233" t="s">
        <v>937</v>
      </c>
      <c r="C28" t="s">
        <v>239</v>
      </c>
    </row>
    <row r="29" spans="1:3" ht="14.4" x14ac:dyDescent="0.3">
      <c r="A29" s="488">
        <v>42000</v>
      </c>
      <c r="B29" s="233" t="s">
        <v>1145</v>
      </c>
      <c r="C29" t="s">
        <v>240</v>
      </c>
    </row>
    <row r="30" spans="1:3" ht="14.4" x14ac:dyDescent="0.3">
      <c r="A30" s="488">
        <v>42200</v>
      </c>
      <c r="B30" s="233" t="s">
        <v>481</v>
      </c>
      <c r="C30" t="s">
        <v>241</v>
      </c>
    </row>
    <row r="31" spans="1:3" ht="14.4" x14ac:dyDescent="0.3">
      <c r="A31" s="488">
        <v>42700</v>
      </c>
      <c r="B31" s="233" t="s">
        <v>482</v>
      </c>
      <c r="C31" t="s">
        <v>242</v>
      </c>
    </row>
    <row r="32" spans="1:3" ht="14.4" x14ac:dyDescent="0.3">
      <c r="A32" s="488">
        <v>42800</v>
      </c>
      <c r="B32" s="233" t="s">
        <v>483</v>
      </c>
      <c r="C32" t="s">
        <v>243</v>
      </c>
    </row>
    <row r="33" spans="1:3" ht="14.4" x14ac:dyDescent="0.3">
      <c r="A33" s="488">
        <v>42900</v>
      </c>
      <c r="B33" s="233" t="s">
        <v>484</v>
      </c>
      <c r="C33" t="s">
        <v>244</v>
      </c>
    </row>
    <row r="34" spans="1:3" ht="14.4" x14ac:dyDescent="0.3">
      <c r="A34" s="488">
        <v>43000</v>
      </c>
      <c r="B34" s="233" t="s">
        <v>366</v>
      </c>
      <c r="C34" t="s">
        <v>367</v>
      </c>
    </row>
    <row r="35" spans="1:3" ht="14.4" x14ac:dyDescent="0.3">
      <c r="A35" s="488">
        <v>43100</v>
      </c>
      <c r="B35" s="233" t="s">
        <v>485</v>
      </c>
      <c r="C35" t="s">
        <v>245</v>
      </c>
    </row>
    <row r="36" spans="1:3" ht="14.4" x14ac:dyDescent="0.3">
      <c r="A36" s="488">
        <v>43200</v>
      </c>
      <c r="B36" s="233" t="s">
        <v>1097</v>
      </c>
      <c r="C36" t="s">
        <v>246</v>
      </c>
    </row>
    <row r="37" spans="1:3" ht="14.4" x14ac:dyDescent="0.3">
      <c r="A37" s="488">
        <v>43400</v>
      </c>
      <c r="B37" s="233" t="s">
        <v>486</v>
      </c>
      <c r="C37" t="s">
        <v>247</v>
      </c>
    </row>
    <row r="38" spans="1:3" ht="14.4" x14ac:dyDescent="0.3">
      <c r="A38" s="488">
        <v>43600</v>
      </c>
      <c r="B38" s="233" t="s">
        <v>1098</v>
      </c>
      <c r="C38" t="s">
        <v>248</v>
      </c>
    </row>
    <row r="39" spans="1:3" ht="14.4" x14ac:dyDescent="0.3">
      <c r="A39" s="488">
        <v>43800</v>
      </c>
      <c r="B39" s="233" t="s">
        <v>1099</v>
      </c>
      <c r="C39" t="s">
        <v>249</v>
      </c>
    </row>
    <row r="40" spans="1:3" ht="14.4" x14ac:dyDescent="0.3">
      <c r="A40" s="488" t="s">
        <v>487</v>
      </c>
      <c r="B40" s="233" t="s">
        <v>488</v>
      </c>
      <c r="C40" t="s">
        <v>250</v>
      </c>
    </row>
    <row r="41" spans="1:3" ht="14.4" x14ac:dyDescent="0.3">
      <c r="A41" s="488" t="s">
        <v>489</v>
      </c>
      <c r="B41" s="233" t="s">
        <v>490</v>
      </c>
      <c r="C41" t="s">
        <v>491</v>
      </c>
    </row>
    <row r="42" spans="1:3" ht="14.4" x14ac:dyDescent="0.3">
      <c r="A42" s="488">
        <v>44100</v>
      </c>
      <c r="B42" s="233" t="s">
        <v>492</v>
      </c>
      <c r="C42" t="s">
        <v>251</v>
      </c>
    </row>
    <row r="43" spans="1:3" ht="14.4" x14ac:dyDescent="0.3">
      <c r="A43" s="488">
        <v>44200</v>
      </c>
      <c r="B43" s="233" t="s">
        <v>493</v>
      </c>
      <c r="C43" t="s">
        <v>252</v>
      </c>
    </row>
    <row r="44" spans="1:3" ht="14.4" x14ac:dyDescent="0.3">
      <c r="A44" s="488">
        <v>44400</v>
      </c>
      <c r="B44" s="233" t="s">
        <v>494</v>
      </c>
      <c r="C44" t="s">
        <v>253</v>
      </c>
    </row>
    <row r="45" spans="1:3" ht="14.4" x14ac:dyDescent="0.3">
      <c r="A45" s="488">
        <v>44500</v>
      </c>
      <c r="B45" s="233" t="s">
        <v>938</v>
      </c>
      <c r="C45" t="s">
        <v>368</v>
      </c>
    </row>
    <row r="46" spans="1:3" ht="14.4" x14ac:dyDescent="0.3">
      <c r="A46" s="488">
        <v>44600</v>
      </c>
      <c r="B46" s="233" t="s">
        <v>495</v>
      </c>
      <c r="C46" t="s">
        <v>369</v>
      </c>
    </row>
    <row r="47" spans="1:3" ht="14.4" x14ac:dyDescent="0.3">
      <c r="A47" s="488">
        <v>45200</v>
      </c>
      <c r="B47" s="233" t="s">
        <v>496</v>
      </c>
      <c r="C47" t="s">
        <v>370</v>
      </c>
    </row>
    <row r="48" spans="1:3" ht="14.4" x14ac:dyDescent="0.3">
      <c r="A48" s="488">
        <v>46100</v>
      </c>
      <c r="B48" s="233" t="s">
        <v>497</v>
      </c>
      <c r="C48" t="s">
        <v>254</v>
      </c>
    </row>
    <row r="49" spans="1:3" ht="14.4" x14ac:dyDescent="0.3">
      <c r="A49" s="488">
        <v>46200</v>
      </c>
      <c r="B49" s="233" t="s">
        <v>498</v>
      </c>
      <c r="C49" t="s">
        <v>255</v>
      </c>
    </row>
    <row r="50" spans="1:3" ht="14.4" x14ac:dyDescent="0.3">
      <c r="A50" s="488">
        <v>46500</v>
      </c>
      <c r="B50" s="233" t="s">
        <v>499</v>
      </c>
      <c r="C50" t="s">
        <v>256</v>
      </c>
    </row>
    <row r="51" spans="1:3" ht="14.4" x14ac:dyDescent="0.3">
      <c r="A51" s="488">
        <v>46600</v>
      </c>
      <c r="B51" s="233" t="s">
        <v>500</v>
      </c>
      <c r="C51" t="s">
        <v>257</v>
      </c>
    </row>
    <row r="52" spans="1:3" ht="14.4" x14ac:dyDescent="0.3">
      <c r="A52" s="488">
        <v>46700</v>
      </c>
      <c r="B52" s="233" t="s">
        <v>501</v>
      </c>
      <c r="C52" t="s">
        <v>258</v>
      </c>
    </row>
    <row r="53" spans="1:3" ht="14.4" x14ac:dyDescent="0.3">
      <c r="A53" s="488">
        <v>46900</v>
      </c>
      <c r="B53" s="233" t="s">
        <v>502</v>
      </c>
      <c r="C53" t="s">
        <v>259</v>
      </c>
    </row>
    <row r="54" spans="1:3" ht="14.4" x14ac:dyDescent="0.3">
      <c r="A54" s="488">
        <v>47000</v>
      </c>
      <c r="B54" s="233" t="s">
        <v>1146</v>
      </c>
      <c r="C54" t="s">
        <v>260</v>
      </c>
    </row>
    <row r="55" spans="1:3" ht="14.4" x14ac:dyDescent="0.3">
      <c r="A55" s="488">
        <v>47100</v>
      </c>
      <c r="B55" s="233" t="s">
        <v>503</v>
      </c>
      <c r="C55" t="s">
        <v>261</v>
      </c>
    </row>
    <row r="56" spans="1:3" ht="14.4" x14ac:dyDescent="0.3">
      <c r="A56" s="488">
        <v>47200</v>
      </c>
      <c r="B56" s="233" t="s">
        <v>504</v>
      </c>
      <c r="C56" t="s">
        <v>262</v>
      </c>
    </row>
    <row r="57" spans="1:3" ht="14.4" x14ac:dyDescent="0.3">
      <c r="A57" s="488">
        <v>47400</v>
      </c>
      <c r="B57" s="233" t="s">
        <v>505</v>
      </c>
      <c r="C57" t="s">
        <v>263</v>
      </c>
    </row>
    <row r="58" spans="1:3" ht="14.4" x14ac:dyDescent="0.3">
      <c r="A58" s="488">
        <v>47500</v>
      </c>
      <c r="B58" s="233" t="s">
        <v>506</v>
      </c>
      <c r="C58" t="s">
        <v>264</v>
      </c>
    </row>
    <row r="59" spans="1:3" ht="14.4" x14ac:dyDescent="0.3">
      <c r="A59" s="488">
        <v>47600</v>
      </c>
      <c r="B59" s="233" t="s">
        <v>507</v>
      </c>
      <c r="C59" t="s">
        <v>265</v>
      </c>
    </row>
    <row r="60" spans="1:3" ht="14.4" x14ac:dyDescent="0.3">
      <c r="A60" s="488">
        <v>47610</v>
      </c>
      <c r="B60" s="233" t="s">
        <v>508</v>
      </c>
      <c r="C60" t="s">
        <v>509</v>
      </c>
    </row>
    <row r="61" spans="1:3" ht="14.4" x14ac:dyDescent="0.3">
      <c r="A61" s="488">
        <v>47700</v>
      </c>
      <c r="B61" s="233" t="s">
        <v>510</v>
      </c>
      <c r="C61" t="s">
        <v>350</v>
      </c>
    </row>
    <row r="62" spans="1:3" ht="14.4" x14ac:dyDescent="0.3">
      <c r="A62" s="488">
        <v>47800</v>
      </c>
      <c r="B62" s="233" t="s">
        <v>171</v>
      </c>
      <c r="C62" t="s">
        <v>266</v>
      </c>
    </row>
    <row r="63" spans="1:3" ht="14.4" x14ac:dyDescent="0.3">
      <c r="A63" s="488">
        <v>48200</v>
      </c>
      <c r="B63" s="233" t="s">
        <v>511</v>
      </c>
      <c r="C63" t="s">
        <v>267</v>
      </c>
    </row>
    <row r="64" spans="1:3" ht="14.4" x14ac:dyDescent="0.3">
      <c r="A64" s="488">
        <v>48400</v>
      </c>
      <c r="B64" s="233" t="s">
        <v>1147</v>
      </c>
      <c r="C64" t="s">
        <v>268</v>
      </c>
    </row>
    <row r="65" spans="1:3" ht="14.4" x14ac:dyDescent="0.3">
      <c r="A65" s="488" t="s">
        <v>939</v>
      </c>
      <c r="B65" s="233" t="s">
        <v>512</v>
      </c>
      <c r="C65" t="s">
        <v>513</v>
      </c>
    </row>
    <row r="66" spans="1:3" ht="14.4" x14ac:dyDescent="0.3">
      <c r="A66" s="488">
        <v>48600</v>
      </c>
      <c r="B66" s="233" t="s">
        <v>514</v>
      </c>
      <c r="C66" t="s">
        <v>269</v>
      </c>
    </row>
    <row r="67" spans="1:3" ht="14.4" x14ac:dyDescent="0.3">
      <c r="A67" s="488">
        <v>48800</v>
      </c>
      <c r="B67" s="233" t="s">
        <v>1148</v>
      </c>
      <c r="C67" t="s">
        <v>270</v>
      </c>
    </row>
    <row r="68" spans="1:3" ht="14.4" x14ac:dyDescent="0.3">
      <c r="A68" s="488">
        <v>48900</v>
      </c>
      <c r="B68" s="233" t="s">
        <v>172</v>
      </c>
      <c r="C68" t="s">
        <v>271</v>
      </c>
    </row>
    <row r="69" spans="1:3" ht="14.4" x14ac:dyDescent="0.3">
      <c r="A69" s="488">
        <v>49000</v>
      </c>
      <c r="B69" s="233" t="s">
        <v>515</v>
      </c>
      <c r="C69" t="s">
        <v>272</v>
      </c>
    </row>
    <row r="70" spans="1:3" ht="14.4" x14ac:dyDescent="0.3">
      <c r="A70" s="488">
        <v>49200</v>
      </c>
      <c r="B70" s="233" t="s">
        <v>1149</v>
      </c>
      <c r="C70" t="s">
        <v>273</v>
      </c>
    </row>
    <row r="71" spans="1:3" ht="14.4" x14ac:dyDescent="0.3">
      <c r="A71" s="488">
        <v>49500</v>
      </c>
      <c r="B71" s="233" t="s">
        <v>1150</v>
      </c>
      <c r="C71" t="s">
        <v>940</v>
      </c>
    </row>
    <row r="72" spans="1:3" ht="14.4" x14ac:dyDescent="0.3">
      <c r="A72" s="488">
        <v>51270</v>
      </c>
      <c r="B72" s="233" t="s">
        <v>516</v>
      </c>
      <c r="C72" t="s">
        <v>351</v>
      </c>
    </row>
    <row r="73" spans="1:3" ht="14.4" x14ac:dyDescent="0.3">
      <c r="A73" s="488">
        <v>85040</v>
      </c>
      <c r="B73" s="233" t="s">
        <v>173</v>
      </c>
      <c r="C73" t="s">
        <v>274</v>
      </c>
    </row>
    <row r="74" spans="1:3" ht="14.4" x14ac:dyDescent="0.3">
      <c r="A74" s="488">
        <v>85240</v>
      </c>
      <c r="B74" s="233" t="s">
        <v>174</v>
      </c>
      <c r="C74" t="s">
        <v>275</v>
      </c>
    </row>
    <row r="75" spans="1:3" ht="14.4" x14ac:dyDescent="0.3">
      <c r="A75" s="488">
        <v>85440</v>
      </c>
      <c r="B75" s="233" t="s">
        <v>175</v>
      </c>
      <c r="C75" t="s">
        <v>276</v>
      </c>
    </row>
    <row r="76" spans="1:3" ht="14.4" x14ac:dyDescent="0.3">
      <c r="A76" s="488">
        <v>85640</v>
      </c>
      <c r="B76" s="233" t="s">
        <v>176</v>
      </c>
      <c r="C76" t="s">
        <v>277</v>
      </c>
    </row>
    <row r="77" spans="1:3" ht="14.4" x14ac:dyDescent="0.3">
      <c r="A77" s="488">
        <v>85840</v>
      </c>
      <c r="B77" s="233" t="s">
        <v>177</v>
      </c>
      <c r="C77" t="s">
        <v>278</v>
      </c>
    </row>
    <row r="78" spans="1:3" ht="14.4" x14ac:dyDescent="0.3">
      <c r="A78" s="488">
        <v>86040</v>
      </c>
      <c r="B78" s="233" t="s">
        <v>178</v>
      </c>
      <c r="C78" t="s">
        <v>279</v>
      </c>
    </row>
    <row r="79" spans="1:3" ht="14.4" x14ac:dyDescent="0.3">
      <c r="A79" s="488">
        <v>86240</v>
      </c>
      <c r="B79" s="233" t="s">
        <v>179</v>
      </c>
      <c r="C79" t="s">
        <v>280</v>
      </c>
    </row>
    <row r="80" spans="1:3" ht="14.4" x14ac:dyDescent="0.3">
      <c r="A80" s="488">
        <v>86440</v>
      </c>
      <c r="B80" s="233" t="s">
        <v>180</v>
      </c>
      <c r="C80" t="s">
        <v>281</v>
      </c>
    </row>
    <row r="81" spans="1:3" ht="14.4" x14ac:dyDescent="0.3">
      <c r="A81" s="488">
        <v>86640</v>
      </c>
      <c r="B81" s="233" t="s">
        <v>181</v>
      </c>
      <c r="C81" t="s">
        <v>282</v>
      </c>
    </row>
    <row r="82" spans="1:3" ht="14.4" x14ac:dyDescent="0.3">
      <c r="A82" s="488">
        <v>86840</v>
      </c>
      <c r="B82" s="233" t="s">
        <v>182</v>
      </c>
      <c r="C82" t="s">
        <v>283</v>
      </c>
    </row>
    <row r="83" spans="1:3" ht="14.4" x14ac:dyDescent="0.3">
      <c r="A83" s="488">
        <v>87240</v>
      </c>
      <c r="B83" s="233" t="s">
        <v>183</v>
      </c>
      <c r="C83" t="s">
        <v>284</v>
      </c>
    </row>
    <row r="84" spans="1:3" ht="14.4" x14ac:dyDescent="0.3">
      <c r="A84" s="488">
        <v>87640</v>
      </c>
      <c r="B84" s="233" t="s">
        <v>184</v>
      </c>
      <c r="C84" t="s">
        <v>285</v>
      </c>
    </row>
    <row r="85" spans="1:3" ht="14.4" x14ac:dyDescent="0.3">
      <c r="A85" s="488">
        <v>88040</v>
      </c>
      <c r="B85" s="233" t="s">
        <v>185</v>
      </c>
      <c r="C85" t="s">
        <v>286</v>
      </c>
    </row>
    <row r="86" spans="1:3" ht="14.4" x14ac:dyDescent="0.3">
      <c r="A86" s="488">
        <v>88440</v>
      </c>
      <c r="B86" s="233" t="s">
        <v>186</v>
      </c>
      <c r="C86" t="s">
        <v>287</v>
      </c>
    </row>
    <row r="87" spans="1:3" ht="14.4" x14ac:dyDescent="0.3">
      <c r="A87" s="488">
        <v>88640</v>
      </c>
      <c r="B87" s="233" t="s">
        <v>187</v>
      </c>
      <c r="C87" t="s">
        <v>288</v>
      </c>
    </row>
    <row r="88" spans="1:3" ht="14.4" x14ac:dyDescent="0.3">
      <c r="A88" s="488">
        <v>88840</v>
      </c>
      <c r="B88" s="233" t="s">
        <v>188</v>
      </c>
      <c r="C88" t="s">
        <v>289</v>
      </c>
    </row>
    <row r="89" spans="1:3" ht="14.4" x14ac:dyDescent="0.3">
      <c r="A89" s="488">
        <v>90000</v>
      </c>
      <c r="B89" s="233" t="s">
        <v>517</v>
      </c>
      <c r="C89" t="s">
        <v>352</v>
      </c>
    </row>
    <row r="90" spans="1:3" ht="14.4" x14ac:dyDescent="0.3">
      <c r="A90" s="489">
        <v>90800</v>
      </c>
      <c r="B90" s="233" t="s">
        <v>1123</v>
      </c>
      <c r="C90" t="s">
        <v>1124</v>
      </c>
    </row>
    <row r="91" spans="1:3" ht="14.4" x14ac:dyDescent="0.3">
      <c r="A91" s="488" t="s">
        <v>941</v>
      </c>
      <c r="B91" s="233" t="s">
        <v>518</v>
      </c>
      <c r="C91" t="s">
        <v>353</v>
      </c>
    </row>
    <row r="92" spans="1:3" ht="14.4" x14ac:dyDescent="0.3">
      <c r="A92" s="488" t="s">
        <v>942</v>
      </c>
      <c r="B92" s="233" t="s">
        <v>548</v>
      </c>
      <c r="C92" t="s">
        <v>354</v>
      </c>
    </row>
    <row r="93" spans="1:3" ht="14.4" x14ac:dyDescent="0.3">
      <c r="A93" s="488">
        <v>91100</v>
      </c>
      <c r="B93" s="233" t="s">
        <v>223</v>
      </c>
      <c r="C93" t="s">
        <v>290</v>
      </c>
    </row>
    <row r="94" spans="1:3" ht="14.4" x14ac:dyDescent="0.3">
      <c r="A94" s="488">
        <v>91200</v>
      </c>
      <c r="B94" s="233" t="s">
        <v>189</v>
      </c>
      <c r="C94" t="s">
        <v>291</v>
      </c>
    </row>
    <row r="95" spans="1:3" ht="14.4" x14ac:dyDescent="0.3">
      <c r="A95" s="488">
        <v>91300</v>
      </c>
      <c r="B95" s="233" t="s">
        <v>190</v>
      </c>
      <c r="C95" t="s">
        <v>292</v>
      </c>
    </row>
    <row r="96" spans="1:3" ht="14.4" x14ac:dyDescent="0.3">
      <c r="A96" s="488">
        <v>91400</v>
      </c>
      <c r="B96" s="233" t="s">
        <v>1151</v>
      </c>
      <c r="C96" t="s">
        <v>293</v>
      </c>
    </row>
    <row r="97" spans="1:3" ht="14.4" x14ac:dyDescent="0.3">
      <c r="A97" s="488">
        <v>91600</v>
      </c>
      <c r="B97" s="233" t="s">
        <v>519</v>
      </c>
      <c r="C97" t="s">
        <v>294</v>
      </c>
    </row>
    <row r="98" spans="1:3" ht="14.4" x14ac:dyDescent="0.3">
      <c r="A98" s="488">
        <v>91700</v>
      </c>
      <c r="B98" s="233" t="s">
        <v>520</v>
      </c>
      <c r="C98" t="s">
        <v>295</v>
      </c>
    </row>
    <row r="99" spans="1:3" ht="14.4" x14ac:dyDescent="0.3">
      <c r="A99" s="488">
        <v>91900</v>
      </c>
      <c r="B99" s="233" t="s">
        <v>521</v>
      </c>
      <c r="C99" t="s">
        <v>943</v>
      </c>
    </row>
    <row r="100" spans="1:3" ht="14.4" x14ac:dyDescent="0.3">
      <c r="A100" s="488">
        <v>92100</v>
      </c>
      <c r="B100" s="233" t="s">
        <v>522</v>
      </c>
      <c r="C100" t="s">
        <v>296</v>
      </c>
    </row>
    <row r="101" spans="1:3" ht="14.4" x14ac:dyDescent="0.3">
      <c r="A101" s="488">
        <v>92200</v>
      </c>
      <c r="B101" s="233" t="s">
        <v>523</v>
      </c>
      <c r="C101" t="s">
        <v>297</v>
      </c>
    </row>
    <row r="102" spans="1:3" ht="14.4" x14ac:dyDescent="0.3">
      <c r="A102" s="488">
        <v>92300</v>
      </c>
      <c r="B102" s="233" t="s">
        <v>524</v>
      </c>
      <c r="C102" t="s">
        <v>298</v>
      </c>
    </row>
    <row r="103" spans="1:3" ht="14.4" x14ac:dyDescent="0.3">
      <c r="A103" s="488">
        <v>92400</v>
      </c>
      <c r="B103" s="233" t="s">
        <v>525</v>
      </c>
      <c r="C103" t="s">
        <v>526</v>
      </c>
    </row>
    <row r="104" spans="1:3" ht="14.4" x14ac:dyDescent="0.3">
      <c r="A104" s="488">
        <v>92600</v>
      </c>
      <c r="B104" s="233" t="s">
        <v>1100</v>
      </c>
      <c r="C104" t="s">
        <v>299</v>
      </c>
    </row>
    <row r="105" spans="1:3" ht="14.4" x14ac:dyDescent="0.3">
      <c r="A105" s="488" t="s">
        <v>527</v>
      </c>
      <c r="B105" s="233" t="s">
        <v>528</v>
      </c>
      <c r="C105" t="s">
        <v>1101</v>
      </c>
    </row>
    <row r="106" spans="1:3" ht="14.4" x14ac:dyDescent="0.3">
      <c r="A106" s="488" t="s">
        <v>529</v>
      </c>
      <c r="B106" s="233" t="s">
        <v>530</v>
      </c>
      <c r="C106" t="s">
        <v>531</v>
      </c>
    </row>
    <row r="107" spans="1:3" ht="14.4" x14ac:dyDescent="0.3">
      <c r="A107" s="488">
        <v>92800</v>
      </c>
      <c r="B107" s="233" t="s">
        <v>532</v>
      </c>
      <c r="C107" t="s">
        <v>300</v>
      </c>
    </row>
    <row r="108" spans="1:3" ht="14.4" x14ac:dyDescent="0.3">
      <c r="A108" s="488">
        <v>94200</v>
      </c>
      <c r="B108" s="233" t="s">
        <v>191</v>
      </c>
      <c r="C108" t="s">
        <v>533</v>
      </c>
    </row>
    <row r="109" spans="1:3" ht="14.4" x14ac:dyDescent="0.3">
      <c r="A109" s="488">
        <v>94700</v>
      </c>
      <c r="B109" s="233" t="s">
        <v>1104</v>
      </c>
      <c r="C109" t="s">
        <v>301</v>
      </c>
    </row>
    <row r="110" spans="1:3" ht="14.4" x14ac:dyDescent="0.3">
      <c r="A110" s="488">
        <v>94800</v>
      </c>
      <c r="B110" s="233" t="s">
        <v>811</v>
      </c>
      <c r="C110" t="s">
        <v>302</v>
      </c>
    </row>
    <row r="111" spans="1:3" ht="14.4" x14ac:dyDescent="0.3">
      <c r="A111" s="488">
        <v>94900</v>
      </c>
      <c r="B111" s="233" t="s">
        <v>534</v>
      </c>
      <c r="C111" t="s">
        <v>303</v>
      </c>
    </row>
    <row r="112" spans="1:3" ht="14.4" x14ac:dyDescent="0.3">
      <c r="A112" s="488">
        <v>95000</v>
      </c>
      <c r="B112" s="233" t="s">
        <v>535</v>
      </c>
      <c r="C112" t="s">
        <v>304</v>
      </c>
    </row>
    <row r="113" spans="1:3" ht="14.4" x14ac:dyDescent="0.3">
      <c r="A113" s="488">
        <v>95100</v>
      </c>
      <c r="B113" s="233" t="s">
        <v>536</v>
      </c>
      <c r="C113" t="s">
        <v>305</v>
      </c>
    </row>
    <row r="114" spans="1:3" ht="14.4" x14ac:dyDescent="0.3">
      <c r="A114" s="488">
        <v>95500</v>
      </c>
      <c r="B114" s="233" t="s">
        <v>537</v>
      </c>
      <c r="C114" t="s">
        <v>306</v>
      </c>
    </row>
    <row r="115" spans="1:3" ht="14.4" x14ac:dyDescent="0.3">
      <c r="A115" s="488">
        <v>96000</v>
      </c>
      <c r="B115" s="233" t="s">
        <v>538</v>
      </c>
      <c r="C115" t="s">
        <v>539</v>
      </c>
    </row>
    <row r="116" spans="1:3" ht="14.4" x14ac:dyDescent="0.3">
      <c r="A116" s="488">
        <v>96800</v>
      </c>
      <c r="B116" s="233" t="s">
        <v>224</v>
      </c>
      <c r="C116" t="s">
        <v>540</v>
      </c>
    </row>
    <row r="117" spans="1:3" ht="14.4" x14ac:dyDescent="0.3">
      <c r="A117" s="488">
        <v>96900</v>
      </c>
      <c r="B117" s="233" t="s">
        <v>541</v>
      </c>
      <c r="C117" t="s">
        <v>307</v>
      </c>
    </row>
    <row r="118" spans="1:3" ht="14.4" x14ac:dyDescent="0.3">
      <c r="A118" s="488">
        <v>97300</v>
      </c>
      <c r="B118" s="233" t="s">
        <v>542</v>
      </c>
      <c r="C118" t="s">
        <v>308</v>
      </c>
    </row>
    <row r="119" spans="1:3" ht="14.4" x14ac:dyDescent="0.3">
      <c r="A119" s="488">
        <v>97600</v>
      </c>
      <c r="B119" s="233" t="s">
        <v>192</v>
      </c>
      <c r="C119" t="s">
        <v>309</v>
      </c>
    </row>
    <row r="120" spans="1:3" ht="14.4" x14ac:dyDescent="0.3">
      <c r="A120" s="488">
        <v>97700</v>
      </c>
      <c r="B120" s="233" t="s">
        <v>543</v>
      </c>
      <c r="C120" t="s">
        <v>310</v>
      </c>
    </row>
    <row r="121" spans="1:3" ht="14.4" x14ac:dyDescent="0.3">
      <c r="A121" s="488">
        <v>98000</v>
      </c>
      <c r="B121" s="233" t="s">
        <v>544</v>
      </c>
      <c r="C121" t="s">
        <v>311</v>
      </c>
    </row>
    <row r="122" spans="1:3" ht="14.4" x14ac:dyDescent="0.3">
      <c r="A122" s="488">
        <v>98100</v>
      </c>
      <c r="B122" s="233" t="s">
        <v>193</v>
      </c>
      <c r="C122" t="s">
        <v>312</v>
      </c>
    </row>
    <row r="123" spans="1:3" ht="14.4" x14ac:dyDescent="0.3">
      <c r="A123" s="488">
        <v>98700</v>
      </c>
      <c r="B123" s="233" t="s">
        <v>323</v>
      </c>
      <c r="C123" t="s">
        <v>545</v>
      </c>
    </row>
    <row r="124" spans="1:3" ht="14.4" x14ac:dyDescent="0.3">
      <c r="A124" s="488">
        <v>98900</v>
      </c>
      <c r="B124" s="233" t="s">
        <v>225</v>
      </c>
      <c r="C124" t="s">
        <v>546</v>
      </c>
    </row>
    <row r="125" spans="1:3" ht="14.4" x14ac:dyDescent="0.3">
      <c r="A125" s="488">
        <v>99000</v>
      </c>
      <c r="B125" s="233" t="s">
        <v>226</v>
      </c>
      <c r="C125" t="s">
        <v>944</v>
      </c>
    </row>
    <row r="126" spans="1:3" ht="14.4" x14ac:dyDescent="0.3">
      <c r="A126" s="488">
        <v>99100</v>
      </c>
      <c r="B126" s="233" t="s">
        <v>547</v>
      </c>
      <c r="C126" t="s">
        <v>313</v>
      </c>
    </row>
    <row r="127" spans="1:3" ht="14.4" x14ac:dyDescent="0.3">
      <c r="A127" s="488">
        <v>99400</v>
      </c>
      <c r="B127" s="233" t="s">
        <v>355</v>
      </c>
      <c r="C127" t="s">
        <v>549</v>
      </c>
    </row>
    <row r="128" spans="1:3" ht="14.4" x14ac:dyDescent="0.3">
      <c r="A128" s="488">
        <v>99500</v>
      </c>
      <c r="B128" s="233" t="s">
        <v>550</v>
      </c>
      <c r="C128" t="s">
        <v>551</v>
      </c>
    </row>
    <row r="129" spans="1:3" ht="14.4" x14ac:dyDescent="0.3">
      <c r="A129" s="488">
        <v>99600</v>
      </c>
      <c r="B129" s="233" t="s">
        <v>1152</v>
      </c>
      <c r="C129" t="s">
        <v>945</v>
      </c>
    </row>
    <row r="130" spans="1:3" ht="14.4" x14ac:dyDescent="0.3">
      <c r="A130" s="488">
        <v>99800</v>
      </c>
      <c r="B130" s="233" t="s">
        <v>552</v>
      </c>
      <c r="C130" t="s">
        <v>812</v>
      </c>
    </row>
  </sheetData>
  <sheetProtection algorithmName="SHA-512" hashValue="o/gPv0YWsRiNPJMqyUQuRegLltOSKqhXwXraN7FtyOL81J88sxCZDmRC+BnFsFSGt4EIGqCzSM45VlmJbIYCLA==" saltValue="1MnntzwgRe6WGtsmS1PiqA==" spinCount="100000" sheet="1" formatCells="0" formatColumns="0" formatRows="0" insertColumns="0" insertRows="0"/>
  <pageMargins left="0.7" right="0.7" top="0.75" bottom="0.75" header="0.3" footer="0.3"/>
  <pageSetup scale="67" fitToHeight="2" orientation="portrait" r:id="rId1"/>
  <headerFooter>
    <oddFooter>&amp;L&amp;"Times New Roman,Italic"&amp;9&amp;Z&amp;F  &amp;A&amp;R&amp;"Times New Roman,Italic"&amp;9&amp;D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4AEE0-1511-4172-BCE2-F8CC60AD1740}">
  <sheetPr>
    <tabColor theme="5" tint="0.39997558519241921"/>
  </sheetPr>
  <dimension ref="A1:AE35"/>
  <sheetViews>
    <sheetView workbookViewId="0">
      <selection activeCell="M20" sqref="M20"/>
    </sheetView>
  </sheetViews>
  <sheetFormatPr defaultColWidth="9.44140625" defaultRowHeight="14.4" x14ac:dyDescent="0.3"/>
  <cols>
    <col min="1" max="1" width="12.44140625" style="164" customWidth="1"/>
    <col min="2" max="2" width="13.44140625" style="164" bestFit="1" customWidth="1"/>
    <col min="3" max="3" width="9.44140625" style="164"/>
    <col min="4" max="4" width="7.5546875" style="164" bestFit="1" customWidth="1"/>
    <col min="5" max="5" width="8.5546875" style="164" bestFit="1" customWidth="1"/>
    <col min="6" max="6" width="9.44140625" style="164"/>
    <col min="7" max="7" width="8.5546875" style="164" bestFit="1" customWidth="1"/>
    <col min="8" max="8" width="10.44140625" style="164" bestFit="1" customWidth="1"/>
    <col min="9" max="9" width="10.44140625" style="164" customWidth="1"/>
    <col min="10" max="10" width="21.5546875" style="164" bestFit="1" customWidth="1"/>
    <col min="11" max="11" width="8.5546875" style="164" customWidth="1"/>
    <col min="12" max="12" width="2.44140625" style="164" customWidth="1"/>
    <col min="13" max="13" width="16.5546875" style="164" bestFit="1" customWidth="1"/>
    <col min="14" max="14" width="10" style="164" customWidth="1"/>
    <col min="15" max="15" width="2.5546875" style="164" customWidth="1"/>
    <col min="16" max="16" width="18.44140625" style="164" bestFit="1" customWidth="1"/>
    <col min="17" max="17" width="9.44140625" style="164" customWidth="1"/>
    <col min="18" max="18" width="20.44140625" style="164" customWidth="1"/>
    <col min="19" max="19" width="10.44140625" style="164" bestFit="1" customWidth="1"/>
    <col min="20" max="20" width="10.5546875" style="164" bestFit="1" customWidth="1"/>
    <col min="21" max="21" width="10.44140625" style="164" bestFit="1" customWidth="1"/>
    <col min="22" max="22" width="10.5546875" style="164" bestFit="1" customWidth="1"/>
    <col min="23" max="23" width="10.44140625" style="164" bestFit="1" customWidth="1"/>
    <col min="24" max="24" width="10.5546875" style="164" bestFit="1" customWidth="1"/>
    <col min="25" max="25" width="26.44140625" style="164" bestFit="1" customWidth="1"/>
    <col min="26" max="26" width="21.44140625" style="164" bestFit="1" customWidth="1"/>
    <col min="27" max="28" width="9.44140625" style="164"/>
    <col min="29" max="29" width="33.44140625" style="164" customWidth="1"/>
    <col min="30" max="30" width="11" style="164" bestFit="1" customWidth="1"/>
    <col min="31" max="31" width="3" style="164" bestFit="1" customWidth="1"/>
    <col min="32" max="16384" width="9.44140625" style="164"/>
  </cols>
  <sheetData>
    <row r="1" spans="1:31" x14ac:dyDescent="0.3">
      <c r="A1" s="166" t="s">
        <v>587</v>
      </c>
      <c r="B1" s="166" t="s">
        <v>588</v>
      </c>
      <c r="C1" s="166"/>
      <c r="D1" s="166" t="s">
        <v>589</v>
      </c>
      <c r="E1" s="166" t="s">
        <v>590</v>
      </c>
      <c r="F1" s="166"/>
      <c r="G1" s="166" t="s">
        <v>591</v>
      </c>
      <c r="H1" s="166" t="s">
        <v>592</v>
      </c>
      <c r="I1" s="166"/>
      <c r="J1" s="166" t="s">
        <v>660</v>
      </c>
      <c r="K1" s="166"/>
      <c r="M1" s="166" t="s">
        <v>663</v>
      </c>
      <c r="N1" s="166"/>
      <c r="P1" s="166" t="s">
        <v>661</v>
      </c>
      <c r="Q1" s="166"/>
      <c r="S1" s="571" t="s">
        <v>610</v>
      </c>
      <c r="T1" s="571"/>
      <c r="U1" s="169" t="s">
        <v>589</v>
      </c>
      <c r="V1" s="169" t="s">
        <v>589</v>
      </c>
      <c r="W1" s="571" t="s">
        <v>411</v>
      </c>
      <c r="X1" s="571"/>
      <c r="Y1" s="571" t="s">
        <v>637</v>
      </c>
      <c r="Z1" s="571"/>
      <c r="AC1" s="166"/>
      <c r="AD1" s="185" t="s">
        <v>676</v>
      </c>
    </row>
    <row r="2" spans="1:31" x14ac:dyDescent="0.3">
      <c r="A2" s="164" t="s">
        <v>437</v>
      </c>
      <c r="B2" s="164">
        <v>10</v>
      </c>
      <c r="D2" s="164" t="s">
        <v>433</v>
      </c>
      <c r="E2" s="164">
        <v>10</v>
      </c>
      <c r="G2" s="164" t="s">
        <v>433</v>
      </c>
      <c r="H2" s="164">
        <v>10</v>
      </c>
      <c r="J2" s="187" t="s">
        <v>625</v>
      </c>
      <c r="K2" s="187">
        <v>16</v>
      </c>
      <c r="M2" s="188" t="s">
        <v>626</v>
      </c>
      <c r="N2" s="187">
        <v>16</v>
      </c>
      <c r="P2" s="187" t="s">
        <v>638</v>
      </c>
      <c r="Q2" s="187">
        <v>16</v>
      </c>
      <c r="S2" s="169" t="s">
        <v>342</v>
      </c>
      <c r="T2" s="169" t="s">
        <v>343</v>
      </c>
      <c r="U2" s="169" t="s">
        <v>342</v>
      </c>
      <c r="V2" s="169" t="s">
        <v>343</v>
      </c>
      <c r="W2" s="169" t="s">
        <v>342</v>
      </c>
      <c r="X2" s="169" t="s">
        <v>343</v>
      </c>
      <c r="Y2" s="571"/>
      <c r="Z2" s="571"/>
      <c r="AC2" s="167" t="s">
        <v>556</v>
      </c>
      <c r="AD2" s="185" t="s">
        <v>433</v>
      </c>
      <c r="AE2" s="164">
        <v>10</v>
      </c>
    </row>
    <row r="3" spans="1:31" x14ac:dyDescent="0.3">
      <c r="A3" s="164" t="s">
        <v>593</v>
      </c>
      <c r="B3" s="164">
        <v>9</v>
      </c>
      <c r="D3" s="164" t="s">
        <v>594</v>
      </c>
      <c r="E3" s="164">
        <v>9</v>
      </c>
      <c r="G3" s="164" t="s">
        <v>594</v>
      </c>
      <c r="H3" s="164">
        <v>9</v>
      </c>
      <c r="J3" s="187" t="s">
        <v>627</v>
      </c>
      <c r="K3" s="187">
        <v>14</v>
      </c>
      <c r="M3" s="188" t="s">
        <v>628</v>
      </c>
      <c r="N3" s="187">
        <v>15</v>
      </c>
      <c r="P3" s="187" t="s">
        <v>643</v>
      </c>
      <c r="Q3" s="187">
        <v>15</v>
      </c>
      <c r="S3" s="169" t="s">
        <v>437</v>
      </c>
      <c r="T3" s="572" t="s">
        <v>625</v>
      </c>
      <c r="U3" s="169" t="s">
        <v>433</v>
      </c>
      <c r="V3" s="572" t="s">
        <v>626</v>
      </c>
      <c r="W3" s="169" t="s">
        <v>433</v>
      </c>
      <c r="X3" s="572" t="s">
        <v>638</v>
      </c>
      <c r="Y3" s="170" t="s">
        <v>639</v>
      </c>
      <c r="Z3" s="572" t="s">
        <v>640</v>
      </c>
      <c r="AA3" s="164">
        <v>10</v>
      </c>
      <c r="AC3" s="167" t="s">
        <v>557</v>
      </c>
      <c r="AD3" s="185" t="s">
        <v>596</v>
      </c>
      <c r="AE3" s="164">
        <v>9</v>
      </c>
    </row>
    <row r="4" spans="1:31" x14ac:dyDescent="0.3">
      <c r="A4" s="164" t="s">
        <v>595</v>
      </c>
      <c r="B4" s="164">
        <v>9</v>
      </c>
      <c r="D4" s="164" t="s">
        <v>596</v>
      </c>
      <c r="E4" s="164">
        <v>9</v>
      </c>
      <c r="G4" s="164" t="s">
        <v>596</v>
      </c>
      <c r="H4" s="164">
        <v>9</v>
      </c>
      <c r="J4" s="187" t="s">
        <v>629</v>
      </c>
      <c r="K4" s="187">
        <v>13</v>
      </c>
      <c r="M4" s="188" t="s">
        <v>630</v>
      </c>
      <c r="N4" s="187">
        <v>14</v>
      </c>
      <c r="P4" s="187" t="s">
        <v>646</v>
      </c>
      <c r="Q4" s="187">
        <v>14</v>
      </c>
      <c r="S4" s="169" t="s">
        <v>593</v>
      </c>
      <c r="T4" s="573"/>
      <c r="U4" s="169" t="s">
        <v>594</v>
      </c>
      <c r="V4" s="573"/>
      <c r="W4" s="169" t="s">
        <v>594</v>
      </c>
      <c r="X4" s="573"/>
      <c r="Y4" s="572" t="s">
        <v>641</v>
      </c>
      <c r="Z4" s="573"/>
      <c r="AA4" s="164">
        <v>9</v>
      </c>
      <c r="AC4" s="167" t="s">
        <v>558</v>
      </c>
      <c r="AD4" s="185" t="s">
        <v>61</v>
      </c>
      <c r="AE4" s="164">
        <v>8</v>
      </c>
    </row>
    <row r="5" spans="1:31" x14ac:dyDescent="0.3">
      <c r="A5" s="164" t="s">
        <v>597</v>
      </c>
      <c r="B5" s="164">
        <v>9</v>
      </c>
      <c r="D5" s="164" t="s">
        <v>642</v>
      </c>
      <c r="E5" s="164">
        <v>9</v>
      </c>
      <c r="G5" s="164" t="s">
        <v>642</v>
      </c>
      <c r="H5" s="164">
        <v>9</v>
      </c>
      <c r="J5" s="187" t="s">
        <v>699</v>
      </c>
      <c r="K5" s="187">
        <v>0</v>
      </c>
      <c r="M5" s="187" t="s">
        <v>631</v>
      </c>
      <c r="N5" s="187">
        <v>13</v>
      </c>
      <c r="P5" s="187" t="s">
        <v>649</v>
      </c>
      <c r="Q5" s="187">
        <v>13</v>
      </c>
      <c r="S5" s="169" t="s">
        <v>595</v>
      </c>
      <c r="T5" s="573"/>
      <c r="U5" s="169" t="s">
        <v>596</v>
      </c>
      <c r="V5" s="573"/>
      <c r="W5" s="169" t="s">
        <v>596</v>
      </c>
      <c r="X5" s="573"/>
      <c r="Y5" s="573"/>
      <c r="Z5" s="573"/>
      <c r="AC5" s="167" t="s">
        <v>559</v>
      </c>
      <c r="AD5" s="185" t="s">
        <v>434</v>
      </c>
      <c r="AE5" s="164">
        <v>7</v>
      </c>
    </row>
    <row r="6" spans="1:31" x14ac:dyDescent="0.3">
      <c r="A6" s="164" t="s">
        <v>598</v>
      </c>
      <c r="B6" s="164">
        <v>8</v>
      </c>
      <c r="D6" s="164" t="s">
        <v>599</v>
      </c>
      <c r="E6" s="164">
        <v>8</v>
      </c>
      <c r="G6" s="164" t="s">
        <v>599</v>
      </c>
      <c r="H6" s="164">
        <v>8</v>
      </c>
      <c r="M6" s="187" t="s">
        <v>62</v>
      </c>
      <c r="N6" s="187">
        <v>12</v>
      </c>
      <c r="P6" s="187" t="s">
        <v>62</v>
      </c>
      <c r="Q6" s="187">
        <v>12</v>
      </c>
      <c r="S6" s="169" t="s">
        <v>597</v>
      </c>
      <c r="T6" s="573"/>
      <c r="U6" s="169" t="s">
        <v>642</v>
      </c>
      <c r="V6" s="574"/>
      <c r="W6" s="169" t="s">
        <v>642</v>
      </c>
      <c r="X6" s="574"/>
      <c r="Y6" s="574"/>
      <c r="Z6" s="573"/>
      <c r="AC6" s="167" t="s">
        <v>560</v>
      </c>
      <c r="AD6" s="185" t="s">
        <v>436</v>
      </c>
      <c r="AE6" s="164">
        <v>6</v>
      </c>
    </row>
    <row r="7" spans="1:31" x14ac:dyDescent="0.3">
      <c r="A7" s="164" t="s">
        <v>600</v>
      </c>
      <c r="B7" s="164">
        <v>8</v>
      </c>
      <c r="D7" s="164" t="s">
        <v>61</v>
      </c>
      <c r="E7" s="164">
        <v>8</v>
      </c>
      <c r="G7" s="164" t="s">
        <v>61</v>
      </c>
      <c r="H7" s="164">
        <v>8</v>
      </c>
      <c r="M7" s="187" t="s">
        <v>63</v>
      </c>
      <c r="N7" s="187">
        <v>11</v>
      </c>
      <c r="P7" s="187" t="s">
        <v>63</v>
      </c>
      <c r="Q7" s="187">
        <v>11</v>
      </c>
      <c r="S7" s="169" t="s">
        <v>598</v>
      </c>
      <c r="T7" s="573"/>
      <c r="U7" s="169" t="s">
        <v>599</v>
      </c>
      <c r="V7" s="572" t="s">
        <v>628</v>
      </c>
      <c r="W7" s="169" t="s">
        <v>599</v>
      </c>
      <c r="X7" s="572" t="s">
        <v>643</v>
      </c>
      <c r="Y7" s="572" t="s">
        <v>644</v>
      </c>
      <c r="Z7" s="573"/>
      <c r="AA7" s="164">
        <v>8</v>
      </c>
      <c r="AC7" s="167" t="s">
        <v>561</v>
      </c>
      <c r="AD7" s="185" t="s">
        <v>62</v>
      </c>
      <c r="AE7" s="164">
        <v>5</v>
      </c>
    </row>
    <row r="8" spans="1:31" x14ac:dyDescent="0.3">
      <c r="A8" s="164" t="s">
        <v>601</v>
      </c>
      <c r="B8" s="164">
        <v>8</v>
      </c>
      <c r="D8" s="164" t="s">
        <v>645</v>
      </c>
      <c r="E8" s="164">
        <v>8</v>
      </c>
      <c r="G8" s="164" t="s">
        <v>645</v>
      </c>
      <c r="H8" s="164">
        <v>8</v>
      </c>
      <c r="M8" s="187" t="s">
        <v>699</v>
      </c>
      <c r="N8" s="187">
        <v>0</v>
      </c>
      <c r="P8" s="187" t="s">
        <v>699</v>
      </c>
      <c r="Q8" s="187">
        <v>0</v>
      </c>
      <c r="S8" s="169" t="s">
        <v>600</v>
      </c>
      <c r="T8" s="574"/>
      <c r="U8" s="169" t="s">
        <v>61</v>
      </c>
      <c r="V8" s="574"/>
      <c r="W8" s="169" t="s">
        <v>61</v>
      </c>
      <c r="X8" s="574"/>
      <c r="Y8" s="573"/>
      <c r="Z8" s="573"/>
      <c r="AC8" s="167" t="s">
        <v>562</v>
      </c>
      <c r="AE8" s="164">
        <v>0</v>
      </c>
    </row>
    <row r="9" spans="1:31" x14ac:dyDescent="0.3">
      <c r="A9" s="164" t="s">
        <v>602</v>
      </c>
      <c r="B9" s="164">
        <v>7</v>
      </c>
      <c r="D9" s="164" t="s">
        <v>603</v>
      </c>
      <c r="E9" s="164">
        <v>7</v>
      </c>
      <c r="G9" s="164" t="s">
        <v>603</v>
      </c>
      <c r="H9" s="179">
        <v>7</v>
      </c>
      <c r="I9" s="179"/>
      <c r="S9" s="169" t="s">
        <v>601</v>
      </c>
      <c r="T9" s="572" t="s">
        <v>627</v>
      </c>
      <c r="U9" s="169" t="s">
        <v>645</v>
      </c>
      <c r="V9" s="572" t="s">
        <v>630</v>
      </c>
      <c r="W9" s="169" t="s">
        <v>645</v>
      </c>
      <c r="X9" s="572" t="s">
        <v>646</v>
      </c>
      <c r="Y9" s="574"/>
      <c r="Z9" s="573"/>
    </row>
    <row r="10" spans="1:31" x14ac:dyDescent="0.3">
      <c r="A10" s="164" t="s">
        <v>604</v>
      </c>
      <c r="B10" s="164">
        <v>7</v>
      </c>
      <c r="D10" s="164" t="s">
        <v>434</v>
      </c>
      <c r="E10" s="164">
        <v>7</v>
      </c>
      <c r="G10" s="164" t="s">
        <v>434</v>
      </c>
      <c r="H10" s="164">
        <v>7</v>
      </c>
      <c r="S10" s="169" t="s">
        <v>602</v>
      </c>
      <c r="T10" s="574"/>
      <c r="U10" s="169" t="s">
        <v>603</v>
      </c>
      <c r="V10" s="574"/>
      <c r="W10" s="169" t="s">
        <v>603</v>
      </c>
      <c r="X10" s="575"/>
      <c r="Y10" s="572" t="s">
        <v>647</v>
      </c>
      <c r="Z10" s="573"/>
      <c r="AA10" s="164">
        <v>7</v>
      </c>
    </row>
    <row r="11" spans="1:31" x14ac:dyDescent="0.3">
      <c r="A11" s="164" t="s">
        <v>605</v>
      </c>
      <c r="B11" s="164">
        <v>7</v>
      </c>
      <c r="D11" s="164" t="s">
        <v>648</v>
      </c>
      <c r="E11" s="164">
        <v>7</v>
      </c>
      <c r="G11" s="164" t="s">
        <v>648</v>
      </c>
      <c r="H11" s="164">
        <v>7</v>
      </c>
      <c r="S11" s="169" t="s">
        <v>604</v>
      </c>
      <c r="T11" s="572" t="s">
        <v>629</v>
      </c>
      <c r="U11" s="169" t="s">
        <v>434</v>
      </c>
      <c r="V11" s="572" t="s">
        <v>631</v>
      </c>
      <c r="W11" s="169" t="s">
        <v>434</v>
      </c>
      <c r="X11" s="576" t="s">
        <v>649</v>
      </c>
      <c r="Y11" s="573"/>
      <c r="Z11" s="573"/>
    </row>
    <row r="12" spans="1:31" x14ac:dyDescent="0.3">
      <c r="A12" s="164" t="s">
        <v>606</v>
      </c>
      <c r="B12" s="164">
        <v>6</v>
      </c>
      <c r="D12" s="164" t="s">
        <v>608</v>
      </c>
      <c r="E12" s="164">
        <v>6</v>
      </c>
      <c r="G12" s="164" t="s">
        <v>608</v>
      </c>
      <c r="H12" s="164">
        <v>6</v>
      </c>
      <c r="S12" s="169" t="s">
        <v>605</v>
      </c>
      <c r="T12" s="573"/>
      <c r="U12" s="169" t="s">
        <v>648</v>
      </c>
      <c r="V12" s="574"/>
      <c r="W12" s="169" t="s">
        <v>648</v>
      </c>
      <c r="X12" s="577"/>
      <c r="Y12" s="574"/>
      <c r="Z12" s="574"/>
    </row>
    <row r="13" spans="1:31" x14ac:dyDescent="0.3">
      <c r="A13" s="164" t="s">
        <v>607</v>
      </c>
      <c r="B13" s="164">
        <v>6</v>
      </c>
      <c r="D13" s="164" t="s">
        <v>436</v>
      </c>
      <c r="E13" s="164">
        <v>6</v>
      </c>
      <c r="G13" s="164" t="s">
        <v>436</v>
      </c>
      <c r="H13" s="164">
        <v>6</v>
      </c>
      <c r="S13" s="171" t="s">
        <v>606</v>
      </c>
      <c r="T13" s="572" t="s">
        <v>650</v>
      </c>
      <c r="U13" s="172" t="s">
        <v>608</v>
      </c>
      <c r="V13" s="572" t="s">
        <v>62</v>
      </c>
      <c r="W13" s="169" t="s">
        <v>608</v>
      </c>
      <c r="X13" s="572" t="s">
        <v>62</v>
      </c>
      <c r="Y13" s="572" t="s">
        <v>651</v>
      </c>
      <c r="Z13" s="572" t="s">
        <v>651</v>
      </c>
      <c r="AA13" s="164">
        <v>6</v>
      </c>
      <c r="AC13" s="165" t="s">
        <v>556</v>
      </c>
      <c r="AD13" s="187" t="s">
        <v>433</v>
      </c>
      <c r="AE13" s="164">
        <v>10</v>
      </c>
    </row>
    <row r="14" spans="1:31" x14ac:dyDescent="0.3">
      <c r="A14" s="164" t="s">
        <v>611</v>
      </c>
      <c r="B14" s="164">
        <v>6</v>
      </c>
      <c r="D14" s="164" t="s">
        <v>652</v>
      </c>
      <c r="E14" s="164">
        <v>6</v>
      </c>
      <c r="G14" s="164" t="s">
        <v>652</v>
      </c>
      <c r="H14" s="164">
        <v>6</v>
      </c>
      <c r="S14" s="171" t="s">
        <v>607</v>
      </c>
      <c r="T14" s="573"/>
      <c r="U14" s="172" t="s">
        <v>436</v>
      </c>
      <c r="V14" s="573"/>
      <c r="W14" s="169" t="s">
        <v>436</v>
      </c>
      <c r="X14" s="573"/>
      <c r="Y14" s="573"/>
      <c r="Z14" s="573"/>
      <c r="AC14" s="165" t="s">
        <v>557</v>
      </c>
      <c r="AD14" s="187" t="s">
        <v>596</v>
      </c>
      <c r="AE14" s="164">
        <v>9</v>
      </c>
    </row>
    <row r="15" spans="1:31" x14ac:dyDescent="0.3">
      <c r="A15" s="164" t="s">
        <v>612</v>
      </c>
      <c r="B15" s="164">
        <v>5</v>
      </c>
      <c r="D15" s="164" t="s">
        <v>613</v>
      </c>
      <c r="E15" s="164">
        <v>5</v>
      </c>
      <c r="G15" s="164" t="s">
        <v>613</v>
      </c>
      <c r="H15" s="164">
        <v>5</v>
      </c>
      <c r="S15" s="171" t="s">
        <v>611</v>
      </c>
      <c r="T15" s="573"/>
      <c r="U15" s="172" t="s">
        <v>652</v>
      </c>
      <c r="V15" s="573"/>
      <c r="W15" s="169" t="s">
        <v>652</v>
      </c>
      <c r="X15" s="573"/>
      <c r="Y15" s="574"/>
      <c r="Z15" s="573"/>
      <c r="AC15" s="165" t="s">
        <v>558</v>
      </c>
      <c r="AD15" s="187" t="s">
        <v>61</v>
      </c>
      <c r="AE15" s="164">
        <v>8</v>
      </c>
    </row>
    <row r="16" spans="1:31" x14ac:dyDescent="0.3">
      <c r="A16" s="164" t="s">
        <v>614</v>
      </c>
      <c r="B16" s="164">
        <v>5</v>
      </c>
      <c r="D16" s="164" t="s">
        <v>62</v>
      </c>
      <c r="E16" s="164">
        <v>5</v>
      </c>
      <c r="G16" s="164" t="s">
        <v>62</v>
      </c>
      <c r="H16" s="164">
        <v>5</v>
      </c>
      <c r="S16" s="171" t="s">
        <v>612</v>
      </c>
      <c r="T16" s="573"/>
      <c r="U16" s="172" t="s">
        <v>613</v>
      </c>
      <c r="V16" s="573"/>
      <c r="W16" s="169" t="s">
        <v>613</v>
      </c>
      <c r="X16" s="573"/>
      <c r="Y16" s="572" t="s">
        <v>653</v>
      </c>
      <c r="Z16" s="573"/>
      <c r="AA16" s="164">
        <v>5</v>
      </c>
      <c r="AC16" s="165" t="s">
        <v>559</v>
      </c>
      <c r="AD16" s="187" t="s">
        <v>434</v>
      </c>
      <c r="AE16" s="164">
        <v>7</v>
      </c>
    </row>
    <row r="17" spans="1:31" x14ac:dyDescent="0.3">
      <c r="A17" s="164" t="s">
        <v>615</v>
      </c>
      <c r="B17" s="164">
        <v>5</v>
      </c>
      <c r="D17" s="164" t="s">
        <v>654</v>
      </c>
      <c r="E17" s="164">
        <v>5</v>
      </c>
      <c r="G17" s="164" t="s">
        <v>654</v>
      </c>
      <c r="H17" s="164">
        <v>5</v>
      </c>
      <c r="S17" s="171" t="s">
        <v>614</v>
      </c>
      <c r="T17" s="573"/>
      <c r="U17" s="172" t="s">
        <v>62</v>
      </c>
      <c r="V17" s="573"/>
      <c r="W17" s="169" t="s">
        <v>62</v>
      </c>
      <c r="X17" s="573"/>
      <c r="Y17" s="573"/>
      <c r="Z17" s="573"/>
      <c r="AC17" s="165" t="s">
        <v>560</v>
      </c>
      <c r="AD17" s="187" t="s">
        <v>436</v>
      </c>
      <c r="AE17" s="164">
        <v>6</v>
      </c>
    </row>
    <row r="18" spans="1:31" x14ac:dyDescent="0.3">
      <c r="A18" s="164" t="s">
        <v>616</v>
      </c>
      <c r="B18" s="164">
        <v>4</v>
      </c>
      <c r="D18" s="164" t="s">
        <v>617</v>
      </c>
      <c r="E18" s="179">
        <v>4</v>
      </c>
      <c r="G18" s="173" t="s">
        <v>618</v>
      </c>
      <c r="H18" s="164">
        <v>4</v>
      </c>
      <c r="S18" s="171" t="s">
        <v>615</v>
      </c>
      <c r="T18" s="573"/>
      <c r="U18" s="172" t="s">
        <v>654</v>
      </c>
      <c r="V18" s="573"/>
      <c r="W18" s="169" t="s">
        <v>654</v>
      </c>
      <c r="X18" s="574"/>
      <c r="Y18" s="574"/>
      <c r="Z18" s="573"/>
      <c r="AC18" s="165" t="s">
        <v>677</v>
      </c>
      <c r="AD18" s="187" t="s">
        <v>62</v>
      </c>
      <c r="AE18" s="164">
        <v>5</v>
      </c>
    </row>
    <row r="19" spans="1:31" x14ac:dyDescent="0.3">
      <c r="A19" s="164" t="s">
        <v>619</v>
      </c>
      <c r="B19" s="179">
        <v>3</v>
      </c>
      <c r="D19" s="164" t="s">
        <v>618</v>
      </c>
      <c r="E19" s="164">
        <v>3</v>
      </c>
      <c r="G19" s="164" t="s">
        <v>623</v>
      </c>
      <c r="H19" s="164">
        <v>1</v>
      </c>
      <c r="S19" s="171" t="s">
        <v>616</v>
      </c>
      <c r="T19" s="573"/>
      <c r="U19" s="172" t="s">
        <v>617</v>
      </c>
      <c r="V19" s="572" t="s">
        <v>63</v>
      </c>
      <c r="W19" s="572" t="s">
        <v>618</v>
      </c>
      <c r="X19" s="572" t="s">
        <v>63</v>
      </c>
      <c r="Y19" s="170" t="s">
        <v>655</v>
      </c>
      <c r="Z19" s="573"/>
      <c r="AA19" s="164">
        <v>4</v>
      </c>
      <c r="AC19" s="165" t="s">
        <v>678</v>
      </c>
      <c r="AD19" s="187" t="s">
        <v>618</v>
      </c>
      <c r="AE19" s="164">
        <v>4</v>
      </c>
    </row>
    <row r="20" spans="1:31" x14ac:dyDescent="0.3">
      <c r="A20" s="164" t="s">
        <v>620</v>
      </c>
      <c r="B20" s="164">
        <v>2</v>
      </c>
      <c r="D20" s="164" t="s">
        <v>656</v>
      </c>
      <c r="E20" s="164">
        <v>2</v>
      </c>
      <c r="G20" s="164" t="s">
        <v>657</v>
      </c>
      <c r="H20" s="164">
        <v>1</v>
      </c>
      <c r="S20" s="171" t="s">
        <v>619</v>
      </c>
      <c r="T20" s="573"/>
      <c r="U20" s="172" t="s">
        <v>618</v>
      </c>
      <c r="V20" s="573"/>
      <c r="W20" s="573"/>
      <c r="X20" s="573"/>
      <c r="Y20" s="174" t="s">
        <v>658</v>
      </c>
      <c r="Z20" s="573"/>
      <c r="AA20" s="164">
        <v>3</v>
      </c>
      <c r="AC20" s="165" t="s">
        <v>679</v>
      </c>
      <c r="AD20" s="187" t="s">
        <v>622</v>
      </c>
      <c r="AE20" s="164">
        <v>3</v>
      </c>
    </row>
    <row r="21" spans="1:31" x14ac:dyDescent="0.3">
      <c r="A21" s="164" t="s">
        <v>621</v>
      </c>
      <c r="B21" s="164">
        <v>2</v>
      </c>
      <c r="D21" s="164" t="s">
        <v>622</v>
      </c>
      <c r="E21" s="164">
        <v>2</v>
      </c>
      <c r="G21" s="164" t="s">
        <v>64</v>
      </c>
      <c r="H21" s="164">
        <v>1</v>
      </c>
      <c r="S21" s="171" t="s">
        <v>620</v>
      </c>
      <c r="T21" s="573"/>
      <c r="U21" s="172" t="s">
        <v>656</v>
      </c>
      <c r="V21" s="573"/>
      <c r="W21" s="573"/>
      <c r="X21" s="573"/>
      <c r="Y21" s="572" t="s">
        <v>659</v>
      </c>
      <c r="Z21" s="573"/>
      <c r="AA21" s="164">
        <v>2</v>
      </c>
      <c r="AC21" s="165" t="s">
        <v>680</v>
      </c>
      <c r="AD21" s="187" t="s">
        <v>63</v>
      </c>
      <c r="AE21" s="164">
        <v>2</v>
      </c>
    </row>
    <row r="22" spans="1:31" x14ac:dyDescent="0.3">
      <c r="A22" s="164" t="s">
        <v>63</v>
      </c>
      <c r="B22" s="164">
        <v>1</v>
      </c>
      <c r="D22" s="164" t="s">
        <v>63</v>
      </c>
      <c r="E22" s="164">
        <v>2</v>
      </c>
      <c r="G22" s="187" t="s">
        <v>701</v>
      </c>
      <c r="H22" s="164">
        <v>0</v>
      </c>
      <c r="S22" s="171" t="s">
        <v>621</v>
      </c>
      <c r="T22" s="573"/>
      <c r="U22" s="172" t="s">
        <v>622</v>
      </c>
      <c r="V22" s="573"/>
      <c r="W22" s="573"/>
      <c r="X22" s="573"/>
      <c r="Y22" s="573"/>
      <c r="Z22" s="573"/>
      <c r="AC22" s="165" t="s">
        <v>681</v>
      </c>
      <c r="AD22" s="187" t="s">
        <v>64</v>
      </c>
      <c r="AE22" s="164">
        <v>1</v>
      </c>
    </row>
    <row r="23" spans="1:31" x14ac:dyDescent="0.3">
      <c r="A23" s="187" t="s">
        <v>701</v>
      </c>
      <c r="B23" s="164">
        <v>0</v>
      </c>
      <c r="D23" s="173" t="s">
        <v>64</v>
      </c>
      <c r="E23" s="164">
        <v>1</v>
      </c>
      <c r="S23" s="171"/>
      <c r="T23" s="573"/>
      <c r="U23" s="172" t="s">
        <v>63</v>
      </c>
      <c r="V23" s="574"/>
      <c r="W23" s="574"/>
      <c r="X23" s="574"/>
      <c r="Y23" s="574"/>
      <c r="Z23" s="573"/>
      <c r="AC23" s="165"/>
    </row>
    <row r="24" spans="1:31" x14ac:dyDescent="0.3">
      <c r="A24" s="166"/>
      <c r="D24" s="187" t="s">
        <v>701</v>
      </c>
      <c r="E24" s="164">
        <v>0</v>
      </c>
      <c r="G24" s="166"/>
      <c r="S24" s="171" t="s">
        <v>63</v>
      </c>
      <c r="T24" s="577"/>
      <c r="U24" s="572" t="s">
        <v>64</v>
      </c>
      <c r="V24" s="572" t="s">
        <v>624</v>
      </c>
      <c r="W24" s="172" t="s">
        <v>623</v>
      </c>
      <c r="X24" s="572" t="s">
        <v>624</v>
      </c>
      <c r="Y24" s="572" t="s">
        <v>662</v>
      </c>
      <c r="Z24" s="573"/>
      <c r="AA24" s="164">
        <v>1</v>
      </c>
      <c r="AC24" s="165" t="s">
        <v>562</v>
      </c>
      <c r="AD24" s="187" t="s">
        <v>699</v>
      </c>
      <c r="AE24" s="164">
        <v>0</v>
      </c>
    </row>
    <row r="25" spans="1:31" x14ac:dyDescent="0.3">
      <c r="A25" s="166"/>
      <c r="C25" s="166"/>
      <c r="F25" s="166"/>
      <c r="S25" s="175" t="s">
        <v>624</v>
      </c>
      <c r="T25" s="176"/>
      <c r="U25" s="573"/>
      <c r="V25" s="573"/>
      <c r="W25" s="172" t="s">
        <v>657</v>
      </c>
      <c r="X25" s="573"/>
      <c r="Y25" s="573"/>
      <c r="Z25" s="573"/>
    </row>
    <row r="26" spans="1:31" x14ac:dyDescent="0.3">
      <c r="D26" s="166"/>
      <c r="G26" s="166"/>
      <c r="S26" s="177"/>
      <c r="T26" s="177"/>
      <c r="U26" s="574"/>
      <c r="V26" s="574"/>
      <c r="W26" s="172" t="s">
        <v>64</v>
      </c>
      <c r="X26" s="574"/>
      <c r="Y26" s="574"/>
      <c r="Z26" s="574"/>
      <c r="AC26" s="165" t="s">
        <v>703</v>
      </c>
      <c r="AD26" s="188" t="s">
        <v>626</v>
      </c>
      <c r="AE26" s="164">
        <v>16</v>
      </c>
    </row>
    <row r="27" spans="1:31" x14ac:dyDescent="0.3">
      <c r="AC27" s="165" t="s">
        <v>561</v>
      </c>
      <c r="AD27" s="188" t="s">
        <v>628</v>
      </c>
      <c r="AE27" s="164">
        <v>15</v>
      </c>
    </row>
    <row r="28" spans="1:31" x14ac:dyDescent="0.3">
      <c r="S28" s="181"/>
      <c r="AC28" s="165" t="s">
        <v>702</v>
      </c>
      <c r="AD28" s="188" t="s">
        <v>630</v>
      </c>
      <c r="AE28" s="164">
        <v>14</v>
      </c>
    </row>
    <row r="29" spans="1:31" x14ac:dyDescent="0.3">
      <c r="A29" s="188" t="s">
        <v>356</v>
      </c>
      <c r="B29" s="189">
        <v>21</v>
      </c>
      <c r="D29" s="166"/>
      <c r="F29" s="241" t="s">
        <v>343</v>
      </c>
      <c r="S29" s="181"/>
    </row>
    <row r="30" spans="1:31" x14ac:dyDescent="0.3">
      <c r="A30" s="188" t="s">
        <v>357</v>
      </c>
      <c r="B30" s="189">
        <v>22</v>
      </c>
      <c r="F30" s="241" t="s">
        <v>342</v>
      </c>
      <c r="S30" s="181"/>
      <c r="AC30" s="164">
        <v>11</v>
      </c>
      <c r="AD30" s="187" t="s">
        <v>628</v>
      </c>
    </row>
    <row r="31" spans="1:31" x14ac:dyDescent="0.3">
      <c r="A31" s="188" t="s">
        <v>358</v>
      </c>
      <c r="B31" s="189">
        <v>23</v>
      </c>
      <c r="S31" s="181"/>
      <c r="AC31" s="164">
        <v>12</v>
      </c>
      <c r="AD31" s="187" t="s">
        <v>630</v>
      </c>
    </row>
    <row r="32" spans="1:31" x14ac:dyDescent="0.3">
      <c r="A32" s="188" t="s">
        <v>364</v>
      </c>
      <c r="B32" s="189">
        <v>24</v>
      </c>
      <c r="S32" s="181"/>
      <c r="AC32" s="164">
        <v>13</v>
      </c>
      <c r="AD32" s="187" t="s">
        <v>631</v>
      </c>
    </row>
    <row r="33" spans="1:30" x14ac:dyDescent="0.3">
      <c r="A33" s="188" t="s">
        <v>359</v>
      </c>
      <c r="B33" s="189">
        <v>25</v>
      </c>
      <c r="F33" s="182" t="s">
        <v>664</v>
      </c>
      <c r="S33" s="181"/>
      <c r="AC33" s="164">
        <v>14</v>
      </c>
      <c r="AD33" s="187" t="s">
        <v>62</v>
      </c>
    </row>
    <row r="34" spans="1:30" x14ac:dyDescent="0.3">
      <c r="F34" s="182" t="s">
        <v>59</v>
      </c>
      <c r="G34" s="164">
        <v>1</v>
      </c>
      <c r="S34" s="181"/>
      <c r="AC34" s="164">
        <v>15</v>
      </c>
      <c r="AD34" s="187" t="s">
        <v>63</v>
      </c>
    </row>
    <row r="35" spans="1:30" x14ac:dyDescent="0.3">
      <c r="F35" s="182" t="s">
        <v>60</v>
      </c>
      <c r="G35" s="164">
        <v>2</v>
      </c>
      <c r="AC35" s="164">
        <v>0</v>
      </c>
      <c r="AD35" s="187" t="s">
        <v>699</v>
      </c>
    </row>
  </sheetData>
  <sheetProtection algorithmName="SHA-512" hashValue="wRP5KOGnIdVbOOYsJegdAgm/gTtjSIy25/IILuRgEl7u++iQSDXQTYE0qYyBeaSAVUlQyOppsku5Sh64AVWZiA==" saltValue="y9D4SDsApVAHiaNJy1m3Aw==" spinCount="100000" sheet="1" objects="1" scenarios="1"/>
  <mergeCells count="32">
    <mergeCell ref="U24:U26"/>
    <mergeCell ref="V24:V26"/>
    <mergeCell ref="X24:X26"/>
    <mergeCell ref="Y24:Y26"/>
    <mergeCell ref="T13:T24"/>
    <mergeCell ref="V13:V18"/>
    <mergeCell ref="X13:X18"/>
    <mergeCell ref="Y13:Y15"/>
    <mergeCell ref="V11:V12"/>
    <mergeCell ref="X11:X12"/>
    <mergeCell ref="Z13:Z26"/>
    <mergeCell ref="Y16:Y18"/>
    <mergeCell ref="V19:V23"/>
    <mergeCell ref="W19:W23"/>
    <mergeCell ref="X19:X23"/>
    <mergeCell ref="Y21:Y23"/>
    <mergeCell ref="S1:T1"/>
    <mergeCell ref="W1:X1"/>
    <mergeCell ref="Y1:Z2"/>
    <mergeCell ref="T3:T8"/>
    <mergeCell ref="V3:V6"/>
    <mergeCell ref="X3:X6"/>
    <mergeCell ref="Z3:Z12"/>
    <mergeCell ref="Y4:Y6"/>
    <mergeCell ref="V7:V8"/>
    <mergeCell ref="X7:X8"/>
    <mergeCell ref="Y7:Y9"/>
    <mergeCell ref="T9:T10"/>
    <mergeCell ref="V9:V10"/>
    <mergeCell ref="X9:X10"/>
    <mergeCell ref="Y10:Y12"/>
    <mergeCell ref="T11:T12"/>
  </mergeCells>
  <conditionalFormatting sqref="S28:S34">
    <cfRule type="expression" priority="7">
      <formula>CELL("protect", INDIRECT(ADDRESS(ROW(),COLUMN())))=1</formula>
    </cfRule>
  </conditionalFormatting>
  <conditionalFormatting sqref="AC2:AC8">
    <cfRule type="expression" priority="6">
      <formula>CELL("protect", INDIRECT(ADDRESS(ROW(),COLUMN())))=1</formula>
    </cfRule>
  </conditionalFormatting>
  <conditionalFormatting sqref="AC13:AC24">
    <cfRule type="expression" priority="4">
      <formula>CELL("protect", INDIRECT(ADDRESS(ROW(),COLUMN())))=1</formula>
    </cfRule>
  </conditionalFormatting>
  <conditionalFormatting sqref="AC26:AC28">
    <cfRule type="expression" priority="1">
      <formula>CELL("protect", INDIRECT(ADDRESS(ROW(),COLUMN())))=1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Q36"/>
  <sheetViews>
    <sheetView zoomScaleNormal="100" workbookViewId="0">
      <selection activeCell="B12" sqref="B12"/>
    </sheetView>
  </sheetViews>
  <sheetFormatPr defaultColWidth="9.44140625" defaultRowHeight="13.2" x14ac:dyDescent="0.25"/>
  <cols>
    <col min="1" max="1" width="5.44140625" style="63" customWidth="1"/>
    <col min="2" max="2" width="4.5546875" style="63" customWidth="1"/>
    <col min="3" max="3" width="3.44140625" style="63" customWidth="1"/>
    <col min="4" max="4" width="77.44140625" style="73" customWidth="1"/>
    <col min="5" max="15" width="9.44140625" style="63"/>
    <col min="16" max="16" width="0" style="63" hidden="1" customWidth="1"/>
    <col min="17" max="17" width="9.44140625" style="63" hidden="1" customWidth="1"/>
    <col min="18" max="18" width="0" style="63" hidden="1" customWidth="1"/>
    <col min="19" max="16384" width="9.44140625" style="63"/>
  </cols>
  <sheetData>
    <row r="1" spans="1:17" x14ac:dyDescent="0.25">
      <c r="Q1" s="63" t="s">
        <v>3</v>
      </c>
    </row>
    <row r="2" spans="1:17" s="43" customFormat="1" ht="15.6" x14ac:dyDescent="0.3">
      <c r="A2" s="47"/>
      <c r="B2" s="47"/>
      <c r="C2" s="47"/>
      <c r="D2" s="64"/>
    </row>
    <row r="3" spans="1:17" s="48" customFormat="1" ht="17.399999999999999" x14ac:dyDescent="0.25">
      <c r="A3" s="47" t="s">
        <v>122</v>
      </c>
      <c r="C3" s="47"/>
      <c r="D3" s="127" t="str">
        <f>Instructions!B2&amp;" Checklist"</f>
        <v>Investment Analysis and Disclosure of Risk Checklist</v>
      </c>
    </row>
    <row r="4" spans="1:17" s="48" customFormat="1" ht="15.6" x14ac:dyDescent="0.25">
      <c r="A4" s="47"/>
      <c r="C4" s="47"/>
      <c r="D4" s="46"/>
    </row>
    <row r="5" spans="1:17" s="48" customFormat="1" ht="15.6" x14ac:dyDescent="0.25">
      <c r="A5" s="47" t="s">
        <v>124</v>
      </c>
      <c r="C5" s="47"/>
      <c r="D5" s="74" t="str">
        <f>+Instructions!B4</f>
        <v>August 31, 2026</v>
      </c>
      <c r="E5" s="112" t="s">
        <v>325</v>
      </c>
    </row>
    <row r="6" spans="1:17" s="48" customFormat="1" ht="15.6" x14ac:dyDescent="0.25">
      <c r="A6" s="47"/>
      <c r="C6" s="47"/>
      <c r="D6" s="74"/>
      <c r="E6" s="112" t="s">
        <v>326</v>
      </c>
    </row>
    <row r="7" spans="1:17" s="48" customFormat="1" ht="15.6" x14ac:dyDescent="0.25">
      <c r="A7" s="47" t="s">
        <v>160</v>
      </c>
      <c r="C7" s="47"/>
      <c r="D7" s="75" t="str">
        <f>+'Investment Analysis'!E3&amp;"  "   &amp;+'Investment Analysis'!D4</f>
        <v xml:space="preserve">  </v>
      </c>
      <c r="E7" s="112" t="s">
        <v>829</v>
      </c>
    </row>
    <row r="8" spans="1:17" s="43" customFormat="1" ht="16.5" customHeight="1" x14ac:dyDescent="0.3">
      <c r="B8" s="47"/>
      <c r="C8" s="47"/>
      <c r="D8" s="64"/>
    </row>
    <row r="10" spans="1:17" ht="15.6" x14ac:dyDescent="0.25">
      <c r="B10" s="104" t="s">
        <v>346</v>
      </c>
    </row>
    <row r="12" spans="1:17" ht="26.4" x14ac:dyDescent="0.25">
      <c r="B12" s="66"/>
      <c r="C12" s="63">
        <v>1</v>
      </c>
      <c r="D12" s="73" t="s">
        <v>455</v>
      </c>
    </row>
    <row r="13" spans="1:17" x14ac:dyDescent="0.25">
      <c r="B13" s="107"/>
    </row>
    <row r="14" spans="1:17" x14ac:dyDescent="0.25">
      <c r="B14" s="107"/>
    </row>
    <row r="15" spans="1:17" ht="26.4" x14ac:dyDescent="0.25">
      <c r="B15" s="66"/>
      <c r="C15" s="63">
        <v>2</v>
      </c>
      <c r="D15" s="73" t="s">
        <v>428</v>
      </c>
    </row>
    <row r="16" spans="1:17" x14ac:dyDescent="0.25">
      <c r="B16" s="107"/>
    </row>
    <row r="17" spans="2:4" x14ac:dyDescent="0.25">
      <c r="B17" s="107"/>
    </row>
    <row r="18" spans="2:4" ht="26.4" x14ac:dyDescent="0.25">
      <c r="B18" s="66"/>
      <c r="C18" s="63">
        <v>3</v>
      </c>
      <c r="D18" s="73" t="s">
        <v>426</v>
      </c>
    </row>
    <row r="19" spans="2:4" x14ac:dyDescent="0.25">
      <c r="B19" s="107"/>
    </row>
    <row r="20" spans="2:4" x14ac:dyDescent="0.25">
      <c r="B20" s="107"/>
    </row>
    <row r="21" spans="2:4" ht="26.4" x14ac:dyDescent="0.25">
      <c r="B21" s="66"/>
      <c r="C21" s="63">
        <v>4</v>
      </c>
      <c r="D21" s="73" t="s">
        <v>427</v>
      </c>
    </row>
    <row r="22" spans="2:4" x14ac:dyDescent="0.25">
      <c r="B22" s="107"/>
    </row>
    <row r="23" spans="2:4" x14ac:dyDescent="0.25">
      <c r="B23" s="107"/>
    </row>
    <row r="24" spans="2:4" ht="26.4" x14ac:dyDescent="0.25">
      <c r="B24" s="66"/>
      <c r="C24" s="63">
        <v>5</v>
      </c>
      <c r="D24" s="73" t="s">
        <v>429</v>
      </c>
    </row>
    <row r="25" spans="2:4" x14ac:dyDescent="0.25">
      <c r="B25" s="107"/>
    </row>
    <row r="26" spans="2:4" ht="41.1" customHeight="1" x14ac:dyDescent="0.25">
      <c r="B26" s="66"/>
      <c r="C26" s="63">
        <v>6</v>
      </c>
      <c r="D26" s="73" t="s">
        <v>913</v>
      </c>
    </row>
    <row r="27" spans="2:4" x14ac:dyDescent="0.25">
      <c r="B27" s="107"/>
    </row>
    <row r="28" spans="2:4" ht="15.6" x14ac:dyDescent="0.25">
      <c r="B28" s="104" t="s">
        <v>347</v>
      </c>
    </row>
    <row r="29" spans="2:4" x14ac:dyDescent="0.25">
      <c r="B29" s="107"/>
    </row>
    <row r="30" spans="2:4" ht="27.75" customHeight="1" x14ac:dyDescent="0.25">
      <c r="B30" s="66"/>
      <c r="C30" s="63">
        <v>7</v>
      </c>
      <c r="D30" s="73" t="s">
        <v>1119</v>
      </c>
    </row>
    <row r="31" spans="2:4" x14ac:dyDescent="0.25">
      <c r="B31" s="107"/>
    </row>
    <row r="32" spans="2:4" x14ac:dyDescent="0.25">
      <c r="B32" s="107"/>
    </row>
    <row r="33" spans="2:4" ht="27" customHeight="1" x14ac:dyDescent="0.25">
      <c r="B33" s="66"/>
      <c r="C33" s="63">
        <v>8</v>
      </c>
      <c r="D33" s="73" t="s">
        <v>1120</v>
      </c>
    </row>
    <row r="34" spans="2:4" x14ac:dyDescent="0.25">
      <c r="B34" s="107"/>
    </row>
    <row r="35" spans="2:4" x14ac:dyDescent="0.25">
      <c r="B35" s="107"/>
    </row>
    <row r="36" spans="2:4" ht="26.4" x14ac:dyDescent="0.25">
      <c r="B36" s="66"/>
      <c r="C36" s="63">
        <v>9</v>
      </c>
      <c r="D36" s="73" t="s">
        <v>1121</v>
      </c>
    </row>
  </sheetData>
  <sheetProtection algorithmName="SHA-512" hashValue="ZAV9Xa3cQHFuTLXxFqRJGESBpB/jEB7zp431vDRxtlekFm0jb1qlzUeghCP5zMlKvyCPt0bOkxqkikw+E4My4g==" saltValue="rqx4kwQlbUthX7DAo1cREA==" spinCount="100000" sheet="1" formatCells="0" formatColumns="0" formatRows="0" insertColumns="0" insertRows="0" sort="0" autoFilter="0" pivotTables="0"/>
  <dataValidations count="2">
    <dataValidation type="list" allowBlank="1" showInputMessage="1" showErrorMessage="1" sqref="B36 B33 B30 B21 B18 B15 B12 B24 B26:B27" xr:uid="{00000000-0002-0000-0000-000000000000}">
      <formula1>YN</formula1>
    </dataValidation>
    <dataValidation type="list" allowBlank="1" showInputMessage="1" showErrorMessage="1" sqref="B19" xr:uid="{00000000-0002-0000-0000-000001000000}">
      <formula1>$Q$1:$Q$2</formula1>
    </dataValidation>
  </dataValidations>
  <pageMargins left="0.35" right="0.45" top="1.18" bottom="0.75" header="0.35" footer="0.5"/>
  <pageSetup scale="77" orientation="portrait" r:id="rId1"/>
  <headerFooter>
    <oddHeader xml:space="preserve">&amp;L&amp;"Times New Roman,Bold"&amp;12&amp;K870E00&amp;G&amp;R &amp;"Times New Roman,Bold"&amp;12&amp;K000099 2025 ACFR Information&amp;"Arial,Regular"&amp;10&amp;K000000
</oddHeader>
    <oddFooter>&amp;L&amp;"Times New Roman,Italic"&amp;9Page &amp;P of &amp;N
&amp;Z&amp;F &amp;A&amp;R&amp;"Times New Roman,Italic"&amp;9&amp;D &amp;T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870E00"/>
  </sheetPr>
  <dimension ref="A1:P172"/>
  <sheetViews>
    <sheetView showGridLines="0" tabSelected="1" zoomScale="90" zoomScaleNormal="90" zoomScaleSheetLayoutView="40" workbookViewId="0">
      <selection activeCell="B9" sqref="B9"/>
    </sheetView>
  </sheetViews>
  <sheetFormatPr defaultColWidth="9.44140625" defaultRowHeight="13.2" x14ac:dyDescent="0.25"/>
  <cols>
    <col min="1" max="1" width="16.5546875" style="1" customWidth="1"/>
    <col min="2" max="4" width="3.5546875" style="1" customWidth="1"/>
    <col min="5" max="5" width="99" style="1" customWidth="1"/>
    <col min="6" max="6" width="2.5546875" style="1" customWidth="1"/>
    <col min="7" max="7" width="9.44140625" style="1"/>
    <col min="8" max="8" width="20" style="1" customWidth="1"/>
    <col min="9" max="13" width="11.5546875" style="1" customWidth="1"/>
    <col min="14" max="14" width="3.5546875" style="1" customWidth="1"/>
    <col min="15" max="16384" width="9.44140625" style="1"/>
  </cols>
  <sheetData>
    <row r="1" spans="1:16" s="43" customFormat="1" ht="15.6" x14ac:dyDescent="0.3">
      <c r="A1" s="46"/>
      <c r="B1" s="47"/>
      <c r="C1" s="47"/>
      <c r="D1" s="47"/>
      <c r="E1" s="48"/>
    </row>
    <row r="2" spans="1:16" s="43" customFormat="1" ht="19.5" customHeight="1" x14ac:dyDescent="0.3">
      <c r="A2" s="46" t="s">
        <v>122</v>
      </c>
      <c r="B2" s="126" t="s">
        <v>123</v>
      </c>
      <c r="C2" s="47"/>
      <c r="D2" s="47"/>
    </row>
    <row r="3" spans="1:16" s="43" customFormat="1" ht="15.6" x14ac:dyDescent="0.3">
      <c r="A3" s="46"/>
      <c r="B3" s="47"/>
      <c r="C3" s="47"/>
      <c r="D3" s="47"/>
      <c r="E3" s="48"/>
    </row>
    <row r="4" spans="1:16" s="43" customFormat="1" ht="15.75" customHeight="1" x14ac:dyDescent="0.3">
      <c r="A4" s="46" t="s">
        <v>124</v>
      </c>
      <c r="B4" s="160" t="s">
        <v>1133</v>
      </c>
      <c r="C4" s="47"/>
      <c r="D4" s="47"/>
      <c r="F4" s="49"/>
      <c r="G4" s="49"/>
    </row>
    <row r="5" spans="1:16" s="43" customFormat="1" ht="15.6" x14ac:dyDescent="0.3">
      <c r="A5" s="46"/>
      <c r="B5" s="47"/>
      <c r="C5" s="47"/>
      <c r="D5" s="47"/>
      <c r="E5" s="49"/>
      <c r="F5" s="49"/>
      <c r="G5" s="49"/>
    </row>
    <row r="6" spans="1:16" s="43" customFormat="1" ht="81.75" customHeight="1" x14ac:dyDescent="0.3">
      <c r="A6" s="46" t="s">
        <v>137</v>
      </c>
      <c r="B6" s="505" t="s">
        <v>1153</v>
      </c>
      <c r="C6" s="505"/>
      <c r="D6" s="505"/>
      <c r="E6" s="505"/>
    </row>
    <row r="7" spans="1:16" s="43" customFormat="1" ht="24" customHeight="1" x14ac:dyDescent="0.3">
      <c r="A7" s="46"/>
      <c r="B7" s="47"/>
      <c r="C7" s="47"/>
      <c r="D7" s="47"/>
      <c r="E7" s="48"/>
    </row>
    <row r="8" spans="1:16" s="43" customFormat="1" ht="112.35" customHeight="1" x14ac:dyDescent="0.3">
      <c r="A8" s="46" t="s">
        <v>125</v>
      </c>
      <c r="B8" s="510" t="s">
        <v>1134</v>
      </c>
      <c r="C8" s="510"/>
      <c r="D8" s="510"/>
      <c r="E8" s="510"/>
    </row>
    <row r="9" spans="1:16" s="43" customFormat="1" ht="20.25" customHeight="1" x14ac:dyDescent="0.3">
      <c r="A9" s="46"/>
      <c r="B9" s="504" t="s">
        <v>1156</v>
      </c>
      <c r="C9" s="493"/>
      <c r="D9" s="493"/>
      <c r="E9" s="493"/>
    </row>
    <row r="10" spans="1:16" s="43" customFormat="1" ht="20.25" customHeight="1" x14ac:dyDescent="0.3">
      <c r="A10" s="46"/>
      <c r="B10" s="505" t="s">
        <v>1157</v>
      </c>
      <c r="C10" s="505"/>
      <c r="D10" s="505"/>
      <c r="E10" s="505"/>
    </row>
    <row r="11" spans="1:16" s="43" customFormat="1" ht="20.25" customHeight="1" x14ac:dyDescent="0.3">
      <c r="A11" s="46"/>
      <c r="B11" s="504"/>
      <c r="C11" s="493"/>
      <c r="D11" s="493"/>
      <c r="E11" s="493"/>
    </row>
    <row r="12" spans="1:16" s="43" customFormat="1" ht="17.25" customHeight="1" x14ac:dyDescent="0.3">
      <c r="A12" s="46"/>
      <c r="B12" s="47"/>
      <c r="C12" s="47"/>
      <c r="D12" s="47"/>
      <c r="E12" s="48"/>
    </row>
    <row r="13" spans="1:16" s="48" customFormat="1" ht="39.75" customHeight="1" x14ac:dyDescent="0.25">
      <c r="A13" s="46" t="s">
        <v>126</v>
      </c>
      <c r="B13" s="505" t="s">
        <v>345</v>
      </c>
      <c r="C13" s="505"/>
      <c r="D13" s="505"/>
      <c r="E13" s="505"/>
      <c r="F13" s="56"/>
      <c r="G13" s="56"/>
      <c r="H13" s="56"/>
      <c r="I13" s="56"/>
      <c r="J13" s="56"/>
      <c r="K13" s="56"/>
      <c r="L13" s="56"/>
      <c r="M13" s="56"/>
      <c r="N13" s="56"/>
      <c r="O13" s="56"/>
      <c r="P13" s="56"/>
    </row>
    <row r="14" spans="1:16" s="43" customFormat="1" ht="15.6" x14ac:dyDescent="0.3">
      <c r="A14" s="46"/>
      <c r="B14" s="47"/>
      <c r="C14" s="47"/>
      <c r="D14" s="47"/>
      <c r="E14" s="48"/>
    </row>
    <row r="15" spans="1:16" s="43" customFormat="1" ht="17.25" customHeight="1" x14ac:dyDescent="0.3">
      <c r="A15" s="46" t="s">
        <v>127</v>
      </c>
      <c r="B15" s="48" t="s">
        <v>132</v>
      </c>
      <c r="C15" s="47"/>
      <c r="D15" s="47"/>
    </row>
    <row r="16" spans="1:16" s="43" customFormat="1" ht="15.75" customHeight="1" x14ac:dyDescent="0.3">
      <c r="A16" s="46" t="s">
        <v>128</v>
      </c>
      <c r="B16" s="48" t="s">
        <v>133</v>
      </c>
      <c r="C16" s="47"/>
      <c r="D16" s="47"/>
    </row>
    <row r="17" spans="1:5" s="43" customFormat="1" ht="15.6" x14ac:dyDescent="0.3">
      <c r="A17" s="46"/>
      <c r="B17" s="48" t="s">
        <v>431</v>
      </c>
      <c r="C17" s="47"/>
      <c r="D17" s="47"/>
    </row>
    <row r="18" spans="1:5" s="43" customFormat="1" ht="15.6" x14ac:dyDescent="0.3">
      <c r="A18" s="46"/>
      <c r="B18" s="48" t="s">
        <v>134</v>
      </c>
      <c r="C18" s="47"/>
      <c r="D18" s="47"/>
    </row>
    <row r="19" spans="1:5" s="43" customFormat="1" ht="15.6" x14ac:dyDescent="0.3">
      <c r="A19" s="46"/>
      <c r="B19" s="48" t="s">
        <v>135</v>
      </c>
      <c r="C19" s="47"/>
      <c r="D19" s="47"/>
    </row>
    <row r="20" spans="1:5" s="43" customFormat="1" ht="15.6" x14ac:dyDescent="0.3">
      <c r="A20" s="46"/>
      <c r="B20" s="48"/>
      <c r="C20" s="47"/>
      <c r="D20" s="47"/>
    </row>
    <row r="21" spans="1:5" s="43" customFormat="1" ht="32.25" customHeight="1" x14ac:dyDescent="0.3">
      <c r="A21" s="46" t="s">
        <v>320</v>
      </c>
      <c r="B21" s="505" t="s">
        <v>322</v>
      </c>
      <c r="C21" s="505"/>
      <c r="D21" s="505"/>
      <c r="E21" s="505"/>
    </row>
    <row r="22" spans="1:5" s="43" customFormat="1" ht="15.6" x14ac:dyDescent="0.3">
      <c r="A22" s="46"/>
      <c r="B22" s="511" t="s">
        <v>324</v>
      </c>
      <c r="C22" s="511"/>
      <c r="D22" s="511"/>
      <c r="E22" s="511"/>
    </row>
    <row r="23" spans="1:5" s="43" customFormat="1" ht="15.6" x14ac:dyDescent="0.3">
      <c r="A23" s="46"/>
      <c r="B23" s="114"/>
      <c r="C23" s="114"/>
      <c r="D23" s="114"/>
      <c r="E23" s="114"/>
    </row>
    <row r="24" spans="1:5" s="43" customFormat="1" ht="15.75" customHeight="1" x14ac:dyDescent="0.3">
      <c r="A24" s="46" t="s">
        <v>129</v>
      </c>
      <c r="B24" s="512" t="s">
        <v>1130</v>
      </c>
      <c r="C24" s="512"/>
      <c r="D24" s="512"/>
      <c r="E24" s="512"/>
    </row>
    <row r="25" spans="1:5" s="43" customFormat="1" ht="15.6" x14ac:dyDescent="0.3">
      <c r="A25" s="46"/>
      <c r="B25" s="503" t="s">
        <v>1131</v>
      </c>
      <c r="C25" s="406"/>
      <c r="D25" s="406"/>
      <c r="E25" s="407"/>
    </row>
    <row r="26" spans="1:5" s="43" customFormat="1" ht="15.6" x14ac:dyDescent="0.3">
      <c r="A26" s="46"/>
      <c r="B26" s="408" t="s">
        <v>1132</v>
      </c>
      <c r="C26" s="409"/>
      <c r="D26" s="409"/>
      <c r="E26" s="410"/>
    </row>
    <row r="27" spans="1:5" s="43" customFormat="1" ht="15.6" x14ac:dyDescent="0.3">
      <c r="A27" s="46"/>
      <c r="B27" s="47"/>
      <c r="C27" s="47"/>
      <c r="D27" s="47"/>
      <c r="E27" s="50"/>
    </row>
    <row r="28" spans="1:5" s="57" customFormat="1" ht="105.75" customHeight="1" x14ac:dyDescent="0.25">
      <c r="A28" s="46" t="s">
        <v>136</v>
      </c>
      <c r="B28" s="505" t="s">
        <v>314</v>
      </c>
      <c r="C28" s="505"/>
      <c r="D28" s="505"/>
      <c r="E28" s="505"/>
    </row>
    <row r="29" spans="1:5" ht="109.5" customHeight="1" x14ac:dyDescent="0.25">
      <c r="B29" s="509" t="s">
        <v>315</v>
      </c>
      <c r="C29" s="509"/>
      <c r="D29" s="509"/>
      <c r="E29" s="509"/>
    </row>
    <row r="30" spans="1:5" ht="15.75" customHeight="1" x14ac:dyDescent="0.25">
      <c r="B30" s="61"/>
      <c r="C30" s="61"/>
      <c r="D30" s="61"/>
      <c r="E30" s="61"/>
    </row>
    <row r="31" spans="1:5" ht="110.25" customHeight="1" x14ac:dyDescent="0.25">
      <c r="B31" s="509" t="s">
        <v>914</v>
      </c>
      <c r="C31" s="509"/>
      <c r="D31" s="509"/>
      <c r="E31" s="509"/>
    </row>
    <row r="33" spans="1:5" ht="91.5" customHeight="1" x14ac:dyDescent="0.3">
      <c r="B33" s="506" t="s">
        <v>319</v>
      </c>
      <c r="C33" s="506"/>
      <c r="D33" s="506"/>
      <c r="E33" s="506"/>
    </row>
    <row r="35" spans="1:5" ht="128.25" customHeight="1" x14ac:dyDescent="0.25">
      <c r="B35" s="509" t="s">
        <v>917</v>
      </c>
      <c r="C35" s="509"/>
      <c r="D35" s="509"/>
      <c r="E35" s="509"/>
    </row>
    <row r="36" spans="1:5" ht="13.8" thickBot="1" x14ac:dyDescent="0.3">
      <c r="A36" s="51"/>
      <c r="B36" s="52"/>
      <c r="C36" s="52"/>
      <c r="D36" s="52"/>
      <c r="E36" s="52"/>
    </row>
    <row r="37" spans="1:5" x14ac:dyDescent="0.25">
      <c r="A37" s="51"/>
    </row>
    <row r="38" spans="1:5" ht="15.6" x14ac:dyDescent="0.3">
      <c r="A38" s="51"/>
      <c r="B38" s="44" t="s">
        <v>105</v>
      </c>
    </row>
    <row r="39" spans="1:5" x14ac:dyDescent="0.25">
      <c r="A39" s="51"/>
    </row>
    <row r="40" spans="1:5" ht="47.25" customHeight="1" x14ac:dyDescent="0.3">
      <c r="A40" s="51"/>
      <c r="B40" s="513" t="s">
        <v>152</v>
      </c>
      <c r="C40" s="513"/>
      <c r="D40" s="513"/>
      <c r="E40" s="513"/>
    </row>
    <row r="41" spans="1:5" x14ac:dyDescent="0.25">
      <c r="A41" s="51"/>
    </row>
    <row r="42" spans="1:5" ht="142.5" customHeight="1" x14ac:dyDescent="0.25">
      <c r="A42" s="51"/>
      <c r="B42" s="505" t="s">
        <v>467</v>
      </c>
      <c r="C42" s="505"/>
      <c r="D42" s="505"/>
      <c r="E42" s="505"/>
    </row>
    <row r="43" spans="1:5" ht="13.8" thickBot="1" x14ac:dyDescent="0.3">
      <c r="B43" s="52"/>
      <c r="C43" s="52"/>
      <c r="D43" s="52"/>
      <c r="E43" s="52"/>
    </row>
    <row r="45" spans="1:5" ht="18" x14ac:dyDescent="0.35">
      <c r="B45" s="264" t="s">
        <v>439</v>
      </c>
      <c r="C45" s="265"/>
      <c r="D45" s="265"/>
      <c r="E45" s="265"/>
    </row>
    <row r="46" spans="1:5" ht="63" customHeight="1" x14ac:dyDescent="0.3">
      <c r="B46" s="508" t="s">
        <v>440</v>
      </c>
      <c r="C46" s="508"/>
      <c r="D46" s="508"/>
      <c r="E46" s="508"/>
    </row>
    <row r="48" spans="1:5" ht="15.6" x14ac:dyDescent="0.3">
      <c r="B48" s="266" t="s">
        <v>78</v>
      </c>
      <c r="C48" s="43"/>
      <c r="D48" s="43"/>
      <c r="E48" s="43"/>
    </row>
    <row r="49" spans="1:5" ht="60" customHeight="1" x14ac:dyDescent="0.25">
      <c r="B49" s="505" t="s">
        <v>159</v>
      </c>
      <c r="C49" s="505"/>
      <c r="D49" s="505"/>
      <c r="E49" s="505"/>
    </row>
    <row r="50" spans="1:5" ht="64.5" customHeight="1" x14ac:dyDescent="0.25">
      <c r="B50" s="62"/>
      <c r="C50" s="505" t="s">
        <v>344</v>
      </c>
      <c r="D50" s="517"/>
      <c r="E50" s="517"/>
    </row>
    <row r="52" spans="1:5" ht="91.5" customHeight="1" x14ac:dyDescent="0.25">
      <c r="B52" s="505" t="s">
        <v>915</v>
      </c>
      <c r="C52" s="505"/>
      <c r="D52" s="505"/>
      <c r="E52" s="505"/>
    </row>
    <row r="53" spans="1:5" ht="56.25" customHeight="1" x14ac:dyDescent="0.25">
      <c r="B53" s="62"/>
      <c r="C53" s="505" t="s">
        <v>451</v>
      </c>
      <c r="D53" s="515"/>
      <c r="E53" s="515"/>
    </row>
    <row r="55" spans="1:5" ht="15.6" x14ac:dyDescent="0.3">
      <c r="B55" s="266" t="s">
        <v>7</v>
      </c>
      <c r="C55" s="43"/>
      <c r="D55" s="43"/>
      <c r="E55" s="43"/>
    </row>
    <row r="56" spans="1:5" ht="31.5" customHeight="1" x14ac:dyDescent="0.3">
      <c r="B56" s="506" t="s">
        <v>138</v>
      </c>
      <c r="C56" s="506"/>
      <c r="D56" s="506"/>
      <c r="E56" s="506"/>
    </row>
    <row r="58" spans="1:5" ht="98.55" customHeight="1" x14ac:dyDescent="0.25">
      <c r="B58" s="507" t="s">
        <v>916</v>
      </c>
      <c r="C58" s="507"/>
      <c r="D58" s="507"/>
      <c r="E58" s="507"/>
    </row>
    <row r="60" spans="1:5" ht="111.75" customHeight="1" x14ac:dyDescent="0.25">
      <c r="A60" s="123"/>
      <c r="B60" s="507" t="s">
        <v>795</v>
      </c>
      <c r="C60" s="507"/>
      <c r="D60" s="507"/>
      <c r="E60" s="507"/>
    </row>
    <row r="62" spans="1:5" ht="15.6" x14ac:dyDescent="0.3">
      <c r="B62" s="53" t="s">
        <v>10</v>
      </c>
    </row>
    <row r="63" spans="1:5" ht="15.6" x14ac:dyDescent="0.3">
      <c r="C63" s="54" t="s">
        <v>329</v>
      </c>
    </row>
    <row r="64" spans="1:5" ht="15.75" customHeight="1" x14ac:dyDescent="0.3">
      <c r="C64" s="56" t="s">
        <v>199</v>
      </c>
      <c r="D64" s="43" t="s">
        <v>43</v>
      </c>
    </row>
    <row r="65" spans="1:5" ht="15.75" customHeight="1" x14ac:dyDescent="0.3">
      <c r="C65" s="56" t="s">
        <v>199</v>
      </c>
      <c r="D65" s="43" t="s">
        <v>41</v>
      </c>
    </row>
    <row r="66" spans="1:5" ht="15.75" customHeight="1" x14ac:dyDescent="0.3">
      <c r="C66" s="56" t="s">
        <v>199</v>
      </c>
      <c r="D66" s="43" t="s">
        <v>42</v>
      </c>
    </row>
    <row r="67" spans="1:5" ht="15.6" x14ac:dyDescent="0.3">
      <c r="C67" s="54" t="s">
        <v>330</v>
      </c>
    </row>
    <row r="68" spans="1:5" ht="15.6" x14ac:dyDescent="0.3">
      <c r="C68" s="56" t="s">
        <v>199</v>
      </c>
      <c r="D68" s="43" t="s">
        <v>47</v>
      </c>
    </row>
    <row r="69" spans="1:5" ht="15.6" x14ac:dyDescent="0.3">
      <c r="C69" s="56" t="s">
        <v>199</v>
      </c>
      <c r="D69" s="43" t="s">
        <v>45</v>
      </c>
    </row>
    <row r="70" spans="1:5" ht="15.6" x14ac:dyDescent="0.3">
      <c r="C70" s="56" t="s">
        <v>199</v>
      </c>
      <c r="D70" s="43" t="s">
        <v>46</v>
      </c>
    </row>
    <row r="71" spans="1:5" ht="15.6" x14ac:dyDescent="0.3">
      <c r="A71" s="42"/>
      <c r="C71" s="56" t="s">
        <v>199</v>
      </c>
      <c r="D71" s="43" t="s">
        <v>44</v>
      </c>
    </row>
    <row r="72" spans="1:5" ht="15.6" x14ac:dyDescent="0.3">
      <c r="A72" s="42"/>
      <c r="C72" s="56" t="s">
        <v>199</v>
      </c>
      <c r="D72" s="43" t="s">
        <v>6</v>
      </c>
    </row>
    <row r="73" spans="1:5" x14ac:dyDescent="0.25">
      <c r="A73" s="42"/>
    </row>
    <row r="74" spans="1:5" ht="63.75" customHeight="1" x14ac:dyDescent="0.25">
      <c r="A74" s="42"/>
      <c r="B74" s="509" t="s">
        <v>334</v>
      </c>
      <c r="C74" s="509"/>
      <c r="D74" s="509"/>
      <c r="E74" s="509"/>
    </row>
    <row r="75" spans="1:5" x14ac:dyDescent="0.25">
      <c r="A75" s="42"/>
    </row>
    <row r="76" spans="1:5" ht="111.75" customHeight="1" x14ac:dyDescent="0.25">
      <c r="A76" s="42"/>
      <c r="B76" s="507" t="s">
        <v>806</v>
      </c>
      <c r="C76" s="507"/>
      <c r="D76" s="507"/>
      <c r="E76" s="507"/>
    </row>
    <row r="78" spans="1:5" ht="15.6" x14ac:dyDescent="0.3">
      <c r="B78" s="43" t="s">
        <v>5</v>
      </c>
    </row>
    <row r="79" spans="1:5" ht="15.6" x14ac:dyDescent="0.3">
      <c r="B79" s="65" t="s">
        <v>194</v>
      </c>
      <c r="C79" s="43"/>
      <c r="D79" s="55"/>
    </row>
    <row r="80" spans="1:5" ht="15.6" x14ac:dyDescent="0.3">
      <c r="B80" s="43" t="s">
        <v>148</v>
      </c>
      <c r="C80" s="43" t="s">
        <v>8</v>
      </c>
      <c r="D80" s="55"/>
    </row>
    <row r="81" spans="2:5" ht="15.6" x14ac:dyDescent="0.3">
      <c r="B81" s="43" t="s">
        <v>148</v>
      </c>
      <c r="C81" s="43" t="s">
        <v>196</v>
      </c>
      <c r="D81" s="55"/>
    </row>
    <row r="82" spans="2:5" ht="15.6" x14ac:dyDescent="0.3">
      <c r="B82" s="65" t="s">
        <v>195</v>
      </c>
      <c r="C82" s="43"/>
      <c r="D82" s="55"/>
    </row>
    <row r="83" spans="2:5" ht="15.6" x14ac:dyDescent="0.3">
      <c r="B83" s="43" t="s">
        <v>148</v>
      </c>
      <c r="C83" s="43" t="s">
        <v>197</v>
      </c>
    </row>
    <row r="84" spans="2:5" ht="15.6" x14ac:dyDescent="0.3">
      <c r="B84" s="43" t="s">
        <v>148</v>
      </c>
      <c r="C84" s="43" t="s">
        <v>198</v>
      </c>
    </row>
    <row r="86" spans="2:5" ht="15.6" x14ac:dyDescent="0.3">
      <c r="B86" s="53" t="s">
        <v>9</v>
      </c>
    </row>
    <row r="87" spans="2:5" ht="15.6" x14ac:dyDescent="0.3">
      <c r="B87" s="54" t="s">
        <v>130</v>
      </c>
    </row>
    <row r="88" spans="2:5" ht="15.6" x14ac:dyDescent="0.3">
      <c r="B88" s="54" t="s">
        <v>131</v>
      </c>
    </row>
    <row r="89" spans="2:5" ht="47.25" customHeight="1" x14ac:dyDescent="0.3">
      <c r="B89" s="523" t="s">
        <v>153</v>
      </c>
      <c r="C89" s="523"/>
      <c r="D89" s="523"/>
      <c r="E89" s="523"/>
    </row>
    <row r="90" spans="2:5" ht="63.75" customHeight="1" x14ac:dyDescent="0.25">
      <c r="B90" s="525" t="s">
        <v>154</v>
      </c>
      <c r="C90" s="525"/>
      <c r="D90" s="525"/>
      <c r="E90" s="525"/>
    </row>
    <row r="92" spans="2:5" ht="144.75" customHeight="1" x14ac:dyDescent="0.25">
      <c r="B92" s="507" t="s">
        <v>796</v>
      </c>
      <c r="C92" s="507"/>
      <c r="D92" s="507"/>
      <c r="E92" s="507"/>
    </row>
    <row r="94" spans="2:5" ht="47.25" customHeight="1" x14ac:dyDescent="0.25">
      <c r="B94" s="507" t="s">
        <v>797</v>
      </c>
      <c r="C94" s="507"/>
      <c r="D94" s="507"/>
      <c r="E94" s="507"/>
    </row>
    <row r="96" spans="2:5" ht="15.6" x14ac:dyDescent="0.3">
      <c r="B96" s="266" t="s">
        <v>80</v>
      </c>
    </row>
    <row r="97" spans="1:5" ht="96" customHeight="1" x14ac:dyDescent="0.3">
      <c r="B97" s="506" t="s">
        <v>335</v>
      </c>
      <c r="C97" s="506"/>
      <c r="D97" s="506"/>
      <c r="E97" s="506"/>
    </row>
    <row r="98" spans="1:5" ht="15.6" x14ac:dyDescent="0.3">
      <c r="B98" s="361"/>
      <c r="C98" s="361"/>
      <c r="D98" s="361"/>
      <c r="E98" s="361"/>
    </row>
    <row r="99" spans="1:5" ht="15.75" customHeight="1" x14ac:dyDescent="0.25">
      <c r="A99" s="134"/>
      <c r="B99" s="520" t="s">
        <v>365</v>
      </c>
      <c r="C99" s="520"/>
      <c r="D99" s="520"/>
      <c r="E99" s="520"/>
    </row>
    <row r="100" spans="1:5" ht="15.75" customHeight="1" x14ac:dyDescent="0.25">
      <c r="B100" s="520"/>
      <c r="C100" s="520"/>
      <c r="D100" s="520"/>
      <c r="E100" s="520"/>
    </row>
    <row r="101" spans="1:5" ht="15.75" customHeight="1" x14ac:dyDescent="0.25">
      <c r="B101" s="520" t="s">
        <v>360</v>
      </c>
      <c r="C101" s="520"/>
      <c r="D101" s="520"/>
      <c r="E101" s="520"/>
    </row>
    <row r="102" spans="1:5" ht="15.75" customHeight="1" x14ac:dyDescent="0.25">
      <c r="B102" s="520"/>
      <c r="C102" s="520"/>
      <c r="D102" s="520"/>
      <c r="E102" s="520"/>
    </row>
    <row r="103" spans="1:5" ht="15.75" customHeight="1" x14ac:dyDescent="0.25">
      <c r="B103" s="520" t="s">
        <v>361</v>
      </c>
      <c r="C103" s="520"/>
      <c r="D103" s="520"/>
      <c r="E103" s="520"/>
    </row>
    <row r="104" spans="1:5" ht="16.5" customHeight="1" x14ac:dyDescent="0.25">
      <c r="B104" s="520"/>
      <c r="C104" s="520"/>
      <c r="D104" s="520"/>
      <c r="E104" s="520"/>
    </row>
    <row r="105" spans="1:5" ht="15.75" customHeight="1" x14ac:dyDescent="0.25">
      <c r="B105" s="520" t="s">
        <v>362</v>
      </c>
      <c r="C105" s="520"/>
      <c r="D105" s="520"/>
      <c r="E105" s="520"/>
    </row>
    <row r="106" spans="1:5" ht="15.75" customHeight="1" x14ac:dyDescent="0.25">
      <c r="B106" s="520" t="s">
        <v>363</v>
      </c>
      <c r="C106" s="520"/>
      <c r="D106" s="520"/>
      <c r="E106" s="520"/>
    </row>
    <row r="107" spans="1:5" ht="13.8" thickBot="1" x14ac:dyDescent="0.3">
      <c r="B107" s="52"/>
      <c r="C107" s="52"/>
      <c r="D107" s="52"/>
      <c r="E107" s="52"/>
    </row>
    <row r="109" spans="1:5" ht="18" x14ac:dyDescent="0.35">
      <c r="B109" s="264" t="s">
        <v>798</v>
      </c>
      <c r="C109" s="265"/>
      <c r="D109" s="265"/>
      <c r="E109" s="265"/>
    </row>
    <row r="110" spans="1:5" ht="31.5" customHeight="1" x14ac:dyDescent="0.25">
      <c r="B110" s="509" t="s">
        <v>441</v>
      </c>
      <c r="C110" s="509"/>
      <c r="D110" s="509"/>
      <c r="E110" s="509"/>
    </row>
    <row r="111" spans="1:5" ht="13.8" thickBot="1" x14ac:dyDescent="0.3">
      <c r="B111" s="52"/>
      <c r="C111" s="52"/>
      <c r="D111" s="52"/>
      <c r="E111" s="52"/>
    </row>
    <row r="113" spans="1:5" ht="18" x14ac:dyDescent="0.35">
      <c r="B113" s="264" t="s">
        <v>58</v>
      </c>
      <c r="C113" s="265"/>
      <c r="D113" s="265"/>
      <c r="E113" s="265"/>
    </row>
    <row r="114" spans="1:5" ht="47.25" customHeight="1" x14ac:dyDescent="0.3">
      <c r="B114" s="506" t="s">
        <v>442</v>
      </c>
      <c r="C114" s="506"/>
      <c r="D114" s="506"/>
      <c r="E114" s="506"/>
    </row>
    <row r="115" spans="1:5" ht="13.8" thickBot="1" x14ac:dyDescent="0.3">
      <c r="B115" s="52"/>
      <c r="C115" s="52"/>
      <c r="D115" s="52"/>
      <c r="E115" s="52"/>
    </row>
    <row r="117" spans="1:5" ht="52.5" customHeight="1" x14ac:dyDescent="0.3">
      <c r="B117" s="518" t="s">
        <v>946</v>
      </c>
      <c r="C117" s="518"/>
      <c r="D117" s="518"/>
      <c r="E117" s="518"/>
    </row>
    <row r="118" spans="1:5" ht="18" customHeight="1" x14ac:dyDescent="0.3">
      <c r="A118" s="44" t="s">
        <v>799</v>
      </c>
      <c r="B118" s="263"/>
      <c r="C118" s="263"/>
      <c r="D118" s="263"/>
      <c r="E118" s="263"/>
    </row>
    <row r="119" spans="1:5" ht="18" customHeight="1" x14ac:dyDescent="0.3">
      <c r="A119" s="524" t="s">
        <v>346</v>
      </c>
      <c r="B119" s="524"/>
      <c r="C119" s="524"/>
      <c r="D119" s="524"/>
      <c r="E119" s="524"/>
    </row>
    <row r="120" spans="1:5" ht="16.2" x14ac:dyDescent="0.35">
      <c r="A120" s="103"/>
      <c r="B120" s="91"/>
      <c r="C120" s="91"/>
      <c r="D120" s="91"/>
      <c r="E120" s="91"/>
    </row>
    <row r="121" spans="1:5" s="43" customFormat="1" ht="33" customHeight="1" x14ac:dyDescent="0.3">
      <c r="A121" s="267" t="s">
        <v>201</v>
      </c>
      <c r="B121" s="514" t="s">
        <v>321</v>
      </c>
      <c r="C121" s="515"/>
      <c r="D121" s="515"/>
      <c r="E121" s="515"/>
    </row>
    <row r="122" spans="1:5" s="63" customFormat="1" x14ac:dyDescent="0.25">
      <c r="A122" s="268"/>
    </row>
    <row r="123" spans="1:5" s="63" customFormat="1" ht="15.6" x14ac:dyDescent="0.25">
      <c r="A123" s="269" t="s">
        <v>200</v>
      </c>
      <c r="B123" s="519" t="s">
        <v>438</v>
      </c>
      <c r="C123" s="519"/>
      <c r="D123" s="519"/>
      <c r="E123" s="519"/>
    </row>
    <row r="124" spans="1:5" x14ac:dyDescent="0.25">
      <c r="A124" s="270"/>
    </row>
    <row r="125" spans="1:5" ht="33.75" customHeight="1" x14ac:dyDescent="0.3">
      <c r="A125" s="269" t="s">
        <v>202</v>
      </c>
      <c r="B125" s="516" t="s">
        <v>203</v>
      </c>
      <c r="C125" s="516"/>
      <c r="D125" s="516"/>
      <c r="E125" s="516"/>
    </row>
    <row r="126" spans="1:5" ht="15.6" x14ac:dyDescent="0.3">
      <c r="B126" s="266" t="s">
        <v>78</v>
      </c>
      <c r="C126" s="42"/>
      <c r="D126" s="42"/>
      <c r="E126" s="42"/>
    </row>
    <row r="127" spans="1:5" ht="15.6" x14ac:dyDescent="0.3">
      <c r="B127" s="266"/>
      <c r="C127" s="42"/>
      <c r="D127" s="526" t="s">
        <v>836</v>
      </c>
      <c r="E127" s="526"/>
    </row>
    <row r="128" spans="1:5" ht="31.5" customHeight="1" x14ac:dyDescent="0.3">
      <c r="A128" s="43"/>
      <c r="B128" s="45"/>
      <c r="C128" s="48" t="s">
        <v>139</v>
      </c>
      <c r="D128" s="521" t="s">
        <v>155</v>
      </c>
      <c r="E128" s="521"/>
    </row>
    <row r="129" spans="1:5" ht="32.25" customHeight="1" x14ac:dyDescent="0.3">
      <c r="A129" s="43"/>
      <c r="B129" s="44"/>
      <c r="C129" s="48" t="s">
        <v>140</v>
      </c>
      <c r="D129" s="521" t="s">
        <v>395</v>
      </c>
      <c r="E129" s="522"/>
    </row>
    <row r="130" spans="1:5" ht="31.5" customHeight="1" x14ac:dyDescent="0.3">
      <c r="A130" s="43"/>
      <c r="B130" s="44"/>
      <c r="C130" s="48" t="s">
        <v>141</v>
      </c>
      <c r="D130" s="521" t="s">
        <v>832</v>
      </c>
      <c r="E130" s="522"/>
    </row>
    <row r="131" spans="1:5" ht="31.5" customHeight="1" x14ac:dyDescent="0.3">
      <c r="A131" s="43"/>
      <c r="B131" s="45"/>
      <c r="C131" s="48" t="s">
        <v>142</v>
      </c>
      <c r="D131" s="521" t="s">
        <v>392</v>
      </c>
      <c r="E131" s="521"/>
    </row>
    <row r="132" spans="1:5" ht="15.75" customHeight="1" x14ac:dyDescent="0.3">
      <c r="A132" s="43"/>
      <c r="B132" s="43"/>
      <c r="C132" s="48" t="s">
        <v>443</v>
      </c>
      <c r="D132" s="48" t="s">
        <v>393</v>
      </c>
    </row>
    <row r="133" spans="1:5" ht="35.25" customHeight="1" x14ac:dyDescent="0.3">
      <c r="A133" s="43"/>
      <c r="B133" s="43"/>
      <c r="C133" s="48" t="s">
        <v>143</v>
      </c>
      <c r="D133" s="510" t="s">
        <v>394</v>
      </c>
      <c r="E133" s="510"/>
    </row>
    <row r="134" spans="1:5" ht="15.6" x14ac:dyDescent="0.3">
      <c r="A134" s="43"/>
      <c r="B134" s="266" t="s">
        <v>79</v>
      </c>
      <c r="C134" s="42"/>
      <c r="D134" s="42"/>
      <c r="E134" s="54"/>
    </row>
    <row r="135" spans="1:5" ht="30.75" customHeight="1" x14ac:dyDescent="0.3">
      <c r="A135" s="43"/>
      <c r="B135" s="43"/>
      <c r="C135" s="520" t="s">
        <v>158</v>
      </c>
      <c r="D135" s="520"/>
      <c r="E135" s="520"/>
    </row>
    <row r="136" spans="1:5" ht="30.75" customHeight="1" x14ac:dyDescent="0.3">
      <c r="A136" s="43"/>
      <c r="B136" s="43"/>
      <c r="C136" s="144" t="s">
        <v>444</v>
      </c>
      <c r="D136" s="520" t="s">
        <v>833</v>
      </c>
      <c r="E136" s="520"/>
    </row>
    <row r="137" spans="1:5" ht="83.55" customHeight="1" x14ac:dyDescent="0.3">
      <c r="A137" s="43"/>
      <c r="B137" s="43"/>
      <c r="C137" s="144"/>
      <c r="D137" s="520"/>
      <c r="E137" s="520"/>
    </row>
    <row r="138" spans="1:5" ht="15.6" x14ac:dyDescent="0.3">
      <c r="A138" s="43"/>
      <c r="B138" s="45"/>
      <c r="C138" s="43" t="s">
        <v>445</v>
      </c>
      <c r="D138" s="509" t="s">
        <v>462</v>
      </c>
      <c r="E138" s="509"/>
    </row>
    <row r="139" spans="1:5" ht="15.6" x14ac:dyDescent="0.3">
      <c r="A139" s="43"/>
      <c r="B139" s="43"/>
      <c r="C139" s="43" t="s">
        <v>144</v>
      </c>
      <c r="D139" s="44" t="s">
        <v>800</v>
      </c>
    </row>
    <row r="140" spans="1:5" ht="101.55" customHeight="1" x14ac:dyDescent="0.3">
      <c r="A140" s="43"/>
      <c r="B140" s="45"/>
      <c r="C140" s="45"/>
      <c r="D140" s="520" t="s">
        <v>834</v>
      </c>
      <c r="E140" s="520"/>
    </row>
    <row r="141" spans="1:5" ht="15.6" x14ac:dyDescent="0.3">
      <c r="A141" s="43"/>
      <c r="B141" s="45"/>
      <c r="C141" s="43" t="s">
        <v>145</v>
      </c>
      <c r="D141" s="44" t="s">
        <v>801</v>
      </c>
      <c r="E141" s="361"/>
    </row>
    <row r="142" spans="1:5" ht="31.5" customHeight="1" x14ac:dyDescent="0.3">
      <c r="A142" s="43"/>
      <c r="B142" s="45"/>
      <c r="C142" s="45"/>
      <c r="D142" s="520" t="s">
        <v>920</v>
      </c>
      <c r="E142" s="520"/>
    </row>
    <row r="143" spans="1:5" ht="15.6" x14ac:dyDescent="0.3">
      <c r="A143" s="43"/>
      <c r="B143" s="45"/>
      <c r="C143" s="43" t="s">
        <v>146</v>
      </c>
      <c r="D143" s="44" t="s">
        <v>802</v>
      </c>
    </row>
    <row r="144" spans="1:5" ht="78" customHeight="1" x14ac:dyDescent="0.3">
      <c r="A144" s="43"/>
      <c r="B144" s="43"/>
      <c r="C144" s="43"/>
      <c r="D144" s="509" t="s">
        <v>463</v>
      </c>
      <c r="E144" s="509"/>
    </row>
    <row r="145" spans="1:5" ht="18" customHeight="1" x14ac:dyDescent="0.3">
      <c r="A145" s="43"/>
      <c r="B145" s="266" t="s">
        <v>396</v>
      </c>
      <c r="C145" s="54"/>
      <c r="D145" s="362"/>
      <c r="E145" s="362"/>
    </row>
    <row r="146" spans="1:5" ht="15.6" x14ac:dyDescent="0.3">
      <c r="A146" s="43"/>
      <c r="B146" s="43"/>
      <c r="C146" s="43" t="s">
        <v>147</v>
      </c>
      <c r="D146" s="520" t="s">
        <v>835</v>
      </c>
      <c r="E146" s="520"/>
    </row>
    <row r="147" spans="1:5" ht="30.75" customHeight="1" x14ac:dyDescent="0.3">
      <c r="A147" s="43"/>
      <c r="B147" s="43"/>
      <c r="C147" s="43"/>
      <c r="D147" s="520"/>
      <c r="E147" s="520"/>
    </row>
    <row r="148" spans="1:5" ht="21" customHeight="1" x14ac:dyDescent="0.3">
      <c r="A148" s="524" t="s">
        <v>347</v>
      </c>
      <c r="B148" s="524"/>
      <c r="C148" s="524"/>
      <c r="D148" s="524"/>
      <c r="E148" s="524"/>
    </row>
    <row r="149" spans="1:5" ht="5.0999999999999996" customHeight="1" x14ac:dyDescent="0.35">
      <c r="A149" s="103"/>
      <c r="C149" s="43"/>
      <c r="D149" s="43"/>
      <c r="E149" s="43"/>
    </row>
    <row r="150" spans="1:5" s="57" customFormat="1" ht="15.6" x14ac:dyDescent="0.25">
      <c r="A150" s="267" t="s">
        <v>201</v>
      </c>
      <c r="B150" s="505" t="s">
        <v>446</v>
      </c>
      <c r="C150" s="505"/>
      <c r="D150" s="505"/>
      <c r="E150" s="505"/>
    </row>
    <row r="151" spans="1:5" s="57" customFormat="1" ht="15.6" x14ac:dyDescent="0.25">
      <c r="A151" s="267"/>
      <c r="B151" s="62"/>
      <c r="C151" s="62"/>
      <c r="D151" s="62"/>
      <c r="E151" s="62"/>
    </row>
    <row r="152" spans="1:5" s="57" customFormat="1" ht="15.6" x14ac:dyDescent="0.25">
      <c r="A152" s="269" t="s">
        <v>200</v>
      </c>
      <c r="B152" s="519" t="s">
        <v>447</v>
      </c>
      <c r="C152" s="519"/>
      <c r="D152" s="519"/>
      <c r="E152" s="519"/>
    </row>
    <row r="153" spans="1:5" s="57" customFormat="1" ht="15.6" x14ac:dyDescent="0.3">
      <c r="A153" s="271"/>
      <c r="B153" s="92"/>
      <c r="C153" s="92"/>
      <c r="D153" s="92"/>
      <c r="E153" s="92"/>
    </row>
    <row r="154" spans="1:5" ht="15.6" x14ac:dyDescent="0.3">
      <c r="A154" s="271" t="s">
        <v>202</v>
      </c>
      <c r="B154" s="272" t="s">
        <v>39</v>
      </c>
      <c r="C154" s="43"/>
      <c r="D154" s="43"/>
      <c r="E154" s="43"/>
    </row>
    <row r="155" spans="1:5" s="57" customFormat="1" ht="32.25" customHeight="1" x14ac:dyDescent="0.25">
      <c r="B155" s="509" t="s">
        <v>448</v>
      </c>
      <c r="C155" s="509"/>
      <c r="D155" s="509"/>
      <c r="E155" s="509"/>
    </row>
    <row r="156" spans="1:5" ht="15.6" x14ac:dyDescent="0.3">
      <c r="C156" s="45" t="s">
        <v>29</v>
      </c>
      <c r="D156" s="43" t="s">
        <v>449</v>
      </c>
    </row>
    <row r="157" spans="1:5" ht="48.75" customHeight="1" x14ac:dyDescent="0.3">
      <c r="C157" s="45"/>
      <c r="D157" s="58" t="s">
        <v>19</v>
      </c>
      <c r="E157" s="61" t="s">
        <v>156</v>
      </c>
    </row>
    <row r="158" spans="1:5" ht="49.5" customHeight="1" x14ac:dyDescent="0.3">
      <c r="B158" s="45"/>
      <c r="C158" s="45"/>
      <c r="D158" s="58" t="s">
        <v>20</v>
      </c>
      <c r="E158" s="61" t="s">
        <v>157</v>
      </c>
    </row>
    <row r="159" spans="1:5" ht="62.4" x14ac:dyDescent="0.3">
      <c r="B159" s="45"/>
      <c r="C159" s="45"/>
      <c r="D159" s="58" t="s">
        <v>21</v>
      </c>
      <c r="E159" s="61" t="s">
        <v>450</v>
      </c>
    </row>
    <row r="160" spans="1:5" ht="15.6" x14ac:dyDescent="0.3">
      <c r="B160" s="45"/>
      <c r="C160" s="45"/>
      <c r="D160" s="58"/>
      <c r="E160" s="61"/>
    </row>
    <row r="161" spans="1:5" ht="38.549999999999997" customHeight="1" x14ac:dyDescent="0.3">
      <c r="B161" s="45"/>
      <c r="C161" s="520" t="s">
        <v>149</v>
      </c>
      <c r="D161" s="520"/>
      <c r="E161" s="520"/>
    </row>
    <row r="162" spans="1:5" ht="17.399999999999999" x14ac:dyDescent="0.3">
      <c r="A162" s="524" t="s">
        <v>803</v>
      </c>
      <c r="B162" s="524"/>
      <c r="C162" s="524"/>
      <c r="D162" s="524"/>
      <c r="E162" s="524"/>
    </row>
    <row r="164" spans="1:5" ht="15.6" x14ac:dyDescent="0.25">
      <c r="A164" s="267" t="s">
        <v>201</v>
      </c>
      <c r="B164" s="505" t="s">
        <v>446</v>
      </c>
      <c r="C164" s="505"/>
      <c r="D164" s="505"/>
      <c r="E164" s="505"/>
    </row>
    <row r="165" spans="1:5" ht="15.6" x14ac:dyDescent="0.25">
      <c r="A165" s="267"/>
      <c r="B165" s="62"/>
      <c r="C165" s="62"/>
      <c r="D165" s="62"/>
      <c r="E165" s="62"/>
    </row>
    <row r="166" spans="1:5" ht="15.6" x14ac:dyDescent="0.25">
      <c r="A166" s="269" t="s">
        <v>200</v>
      </c>
      <c r="B166" s="519" t="s">
        <v>447</v>
      </c>
      <c r="C166" s="519"/>
      <c r="D166" s="519"/>
      <c r="E166" s="519"/>
    </row>
    <row r="167" spans="1:5" ht="15.6" x14ac:dyDescent="0.3">
      <c r="A167" s="271"/>
      <c r="B167" s="92"/>
      <c r="C167" s="92"/>
      <c r="D167" s="92"/>
      <c r="E167" s="92"/>
    </row>
    <row r="168" spans="1:5" ht="15.6" x14ac:dyDescent="0.3">
      <c r="A168" s="271" t="s">
        <v>202</v>
      </c>
      <c r="B168" s="272" t="s">
        <v>453</v>
      </c>
      <c r="C168" s="43"/>
      <c r="D168" s="43"/>
      <c r="E168" s="43"/>
    </row>
    <row r="169" spans="1:5" ht="15.6" x14ac:dyDescent="0.25">
      <c r="A169" s="57"/>
      <c r="B169" s="509" t="s">
        <v>805</v>
      </c>
      <c r="C169" s="509"/>
      <c r="D169" s="509"/>
      <c r="E169" s="509"/>
    </row>
    <row r="170" spans="1:5" ht="7.35" customHeight="1" x14ac:dyDescent="0.3">
      <c r="C170" s="45"/>
      <c r="D170" s="43"/>
    </row>
    <row r="171" spans="1:5" ht="62.4" x14ac:dyDescent="0.3">
      <c r="C171" s="45"/>
      <c r="D171" s="58" t="s">
        <v>19</v>
      </c>
      <c r="E171" s="61" t="s">
        <v>1122</v>
      </c>
    </row>
    <row r="172" spans="1:5" ht="31.2" x14ac:dyDescent="0.3">
      <c r="B172" s="45"/>
      <c r="C172" s="45"/>
      <c r="D172" s="58" t="s">
        <v>20</v>
      </c>
      <c r="E172" s="61" t="s">
        <v>804</v>
      </c>
    </row>
  </sheetData>
  <sheetProtection algorithmName="SHA-512" hashValue="fO55yRLmFCX7sxRwWc8TXnNIfGx9+3T/F2yfUOWECSKrN9pfjR4cb7VW5DnfpL5LT/q7WrkkRWQ8DUYDlGyQsQ==" saltValue="YRFcQ03lgZ8o72ZLxHYHqA==" spinCount="100000" sheet="1" formatCells="0" formatColumns="0" formatRows="0" sort="0" autoFilter="0" pivotTables="0"/>
  <mergeCells count="63">
    <mergeCell ref="B150:E150"/>
    <mergeCell ref="B152:E152"/>
    <mergeCell ref="A148:E148"/>
    <mergeCell ref="B155:E155"/>
    <mergeCell ref="D146:E147"/>
    <mergeCell ref="A162:E162"/>
    <mergeCell ref="B164:E164"/>
    <mergeCell ref="B166:E166"/>
    <mergeCell ref="B169:E169"/>
    <mergeCell ref="C161:E161"/>
    <mergeCell ref="D144:E144"/>
    <mergeCell ref="D140:E140"/>
    <mergeCell ref="D138:E138"/>
    <mergeCell ref="B89:E89"/>
    <mergeCell ref="B101:E102"/>
    <mergeCell ref="B103:E104"/>
    <mergeCell ref="B105:E105"/>
    <mergeCell ref="B106:E106"/>
    <mergeCell ref="D136:E137"/>
    <mergeCell ref="A119:E119"/>
    <mergeCell ref="D133:E133"/>
    <mergeCell ref="B90:E90"/>
    <mergeCell ref="B110:E110"/>
    <mergeCell ref="D127:E127"/>
    <mergeCell ref="D129:E129"/>
    <mergeCell ref="B99:E100"/>
    <mergeCell ref="D142:E142"/>
    <mergeCell ref="D131:E131"/>
    <mergeCell ref="D128:E128"/>
    <mergeCell ref="D130:E130"/>
    <mergeCell ref="C135:E135"/>
    <mergeCell ref="B49:E49"/>
    <mergeCell ref="B121:E121"/>
    <mergeCell ref="B125:E125"/>
    <mergeCell ref="B42:E42"/>
    <mergeCell ref="C50:E50"/>
    <mergeCell ref="B74:E74"/>
    <mergeCell ref="B58:E58"/>
    <mergeCell ref="B117:E117"/>
    <mergeCell ref="B114:E114"/>
    <mergeCell ref="B76:E76"/>
    <mergeCell ref="B94:E94"/>
    <mergeCell ref="C53:E53"/>
    <mergeCell ref="B97:E97"/>
    <mergeCell ref="B92:E92"/>
    <mergeCell ref="B123:E123"/>
    <mergeCell ref="B56:E56"/>
    <mergeCell ref="B10:E10"/>
    <mergeCell ref="B33:E33"/>
    <mergeCell ref="B60:E60"/>
    <mergeCell ref="B46:E46"/>
    <mergeCell ref="B6:E6"/>
    <mergeCell ref="B13:E13"/>
    <mergeCell ref="B28:E28"/>
    <mergeCell ref="B29:E29"/>
    <mergeCell ref="B31:E31"/>
    <mergeCell ref="B8:E8"/>
    <mergeCell ref="B21:E21"/>
    <mergeCell ref="B22:E22"/>
    <mergeCell ref="B24:E24"/>
    <mergeCell ref="B35:E35"/>
    <mergeCell ref="B40:E40"/>
    <mergeCell ref="B52:E52"/>
  </mergeCells>
  <phoneticPr fontId="10" type="noConversion"/>
  <hyperlinks>
    <hyperlink ref="B25" r:id="rId1" xr:uid="{00000000-0004-0000-0100-000000000000}"/>
    <hyperlink ref="B22" r:id="rId2" display="http://www.cviog.uga.edu/endofyear " xr:uid="{00000000-0004-0000-0100-000001000000}"/>
    <hyperlink ref="B22:F22" r:id="rId3" display="http://sao.georgia.gov/year-end-training-videos" xr:uid="{00000000-0004-0000-0100-000002000000}"/>
    <hyperlink ref="B9" r:id="rId4" display="https://sao.georgia.gov/swar/year-end-forms" xr:uid="{E65F3BA3-E036-43B4-844B-C15795F37171}"/>
  </hyperlinks>
  <pageMargins left="0.35" right="0.45" top="0.99929999999999997" bottom="0.75" header="0.35" footer="0.5"/>
  <pageSetup scale="63" fitToHeight="4" orientation="portrait" r:id="rId5"/>
  <headerFooter>
    <oddHeader>&amp;L&amp;G&amp;R&amp;K002060 &amp;"Times New Roman,Bold"&amp;12&amp;K000099 2025 ACFR Information</oddHeader>
    <oddFooter>&amp;L&amp;"Times New Roman,Italic"&amp;9Page &amp;P of &amp;N
&amp;Z&amp;F &amp;A&amp;R&amp;"Times New Roman,Italic"&amp;9&amp;D &amp;T</oddFooter>
  </headerFooter>
  <rowBreaks count="4" manualBreakCount="4">
    <brk id="34" max="4" man="1"/>
    <brk id="59" max="4" man="1"/>
    <brk id="93" max="4" man="1"/>
    <brk id="133" max="4" man="1"/>
  </rowBreaks>
  <drawing r:id="rId6"/>
  <legacyDrawingHF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23BA0-BBB1-43C1-B6CB-465ACCFE21C0}">
  <sheetPr>
    <tabColor rgb="FFFF0000"/>
    <pageSetUpPr fitToPage="1"/>
  </sheetPr>
  <dimension ref="A2:Q66"/>
  <sheetViews>
    <sheetView zoomScaleNormal="100" workbookViewId="0">
      <selection activeCell="D64" sqref="D64"/>
    </sheetView>
  </sheetViews>
  <sheetFormatPr defaultColWidth="9.44140625" defaultRowHeight="13.2" x14ac:dyDescent="0.25"/>
  <cols>
    <col min="1" max="1" width="5.44140625" style="63" customWidth="1"/>
    <col min="2" max="2" width="4.5546875" style="63" customWidth="1"/>
    <col min="3" max="3" width="3.44140625" style="63" customWidth="1"/>
    <col min="4" max="4" width="77.44140625" style="73" customWidth="1"/>
    <col min="5" max="15" width="9.44140625" style="63"/>
    <col min="16" max="16" width="0" style="63" hidden="1" customWidth="1"/>
    <col min="17" max="17" width="9.44140625" style="63" hidden="1" customWidth="1"/>
    <col min="18" max="18" width="0" style="63" hidden="1" customWidth="1"/>
    <col min="19" max="16384" width="9.44140625" style="63"/>
  </cols>
  <sheetData>
    <row r="2" spans="1:6" customFormat="1" ht="15.6" x14ac:dyDescent="0.25">
      <c r="A2" s="47"/>
      <c r="B2" s="47"/>
      <c r="C2" s="47"/>
      <c r="D2" s="64"/>
    </row>
    <row r="3" spans="1:6" customFormat="1" ht="17.399999999999999" x14ac:dyDescent="0.25">
      <c r="A3" s="47" t="s">
        <v>122</v>
      </c>
      <c r="B3" s="48"/>
      <c r="C3" s="47"/>
      <c r="D3" s="345" t="s">
        <v>123</v>
      </c>
    </row>
    <row r="4" spans="1:6" customFormat="1" ht="15.6" x14ac:dyDescent="0.25">
      <c r="A4" s="47"/>
      <c r="B4" s="48"/>
      <c r="C4" s="47"/>
      <c r="D4" s="46"/>
    </row>
    <row r="5" spans="1:6" customFormat="1" ht="15.6" x14ac:dyDescent="0.3">
      <c r="A5" s="47" t="s">
        <v>160</v>
      </c>
      <c r="B5" s="48"/>
      <c r="C5" s="47"/>
      <c r="D5" s="354">
        <f>'Investment Analysis'!E3</f>
        <v>0</v>
      </c>
    </row>
    <row r="6" spans="1:6" customFormat="1" ht="15.6" x14ac:dyDescent="0.3">
      <c r="A6" s="43"/>
      <c r="B6" s="47"/>
      <c r="C6" s="47"/>
      <c r="D6" s="67"/>
    </row>
    <row r="7" spans="1:6" customFormat="1" x14ac:dyDescent="0.25">
      <c r="A7" s="63"/>
      <c r="B7" s="346" t="s">
        <v>813</v>
      </c>
      <c r="C7" s="63"/>
      <c r="D7" s="63"/>
    </row>
    <row r="8" spans="1:6" customFormat="1" x14ac:dyDescent="0.25">
      <c r="A8" s="63"/>
      <c r="B8" s="63"/>
      <c r="C8" s="63"/>
      <c r="D8" s="63"/>
      <c r="F8" s="112"/>
    </row>
    <row r="9" spans="1:6" customFormat="1" ht="15.6" x14ac:dyDescent="0.25">
      <c r="A9" s="63"/>
      <c r="B9" s="66"/>
      <c r="C9" s="63">
        <v>1</v>
      </c>
      <c r="D9" s="347" t="s">
        <v>814</v>
      </c>
      <c r="F9" s="112"/>
    </row>
    <row r="10" spans="1:6" customFormat="1" x14ac:dyDescent="0.25">
      <c r="A10" s="63"/>
      <c r="B10" s="63"/>
      <c r="C10" s="63"/>
      <c r="D10" s="63"/>
      <c r="F10" s="112"/>
    </row>
    <row r="11" spans="1:6" customFormat="1" ht="93.6" x14ac:dyDescent="0.25">
      <c r="A11" s="63"/>
      <c r="B11" s="66"/>
      <c r="C11" s="63">
        <v>2</v>
      </c>
      <c r="D11" s="348" t="s">
        <v>815</v>
      </c>
    </row>
    <row r="12" spans="1:6" customFormat="1" ht="15.6" x14ac:dyDescent="0.25">
      <c r="A12" s="63"/>
      <c r="B12" s="107"/>
      <c r="C12" s="63"/>
      <c r="D12" s="348"/>
    </row>
    <row r="13" spans="1:6" customFormat="1" ht="15.6" x14ac:dyDescent="0.25">
      <c r="A13" s="63"/>
      <c r="B13" s="66"/>
      <c r="C13" s="63">
        <v>3</v>
      </c>
      <c r="D13" s="347" t="s">
        <v>816</v>
      </c>
    </row>
    <row r="14" spans="1:6" customFormat="1" ht="15.6" x14ac:dyDescent="0.25">
      <c r="A14" s="63"/>
      <c r="B14" s="107"/>
      <c r="C14" s="63"/>
      <c r="D14" s="348"/>
    </row>
    <row r="15" spans="1:6" customFormat="1" ht="31.2" x14ac:dyDescent="0.25">
      <c r="A15" s="63"/>
      <c r="B15" s="66"/>
      <c r="C15" s="63">
        <v>4</v>
      </c>
      <c r="D15" s="348" t="s">
        <v>817</v>
      </c>
    </row>
    <row r="16" spans="1:6" customFormat="1" ht="15.6" x14ac:dyDescent="0.25">
      <c r="A16" s="63"/>
      <c r="B16" s="107"/>
      <c r="C16" s="63"/>
      <c r="D16" s="347"/>
    </row>
    <row r="17" spans="1:4" customFormat="1" ht="46.8" x14ac:dyDescent="0.25">
      <c r="A17" s="63"/>
      <c r="B17" s="66"/>
      <c r="C17" s="63">
        <v>5</v>
      </c>
      <c r="D17" s="348" t="s">
        <v>947</v>
      </c>
    </row>
    <row r="18" spans="1:4" customFormat="1" ht="15.6" x14ac:dyDescent="0.25">
      <c r="A18" s="63"/>
      <c r="B18" s="107"/>
      <c r="C18" s="63"/>
      <c r="D18" s="347"/>
    </row>
    <row r="19" spans="1:4" customFormat="1" ht="62.4" x14ac:dyDescent="0.25">
      <c r="A19" s="63"/>
      <c r="B19" s="66"/>
      <c r="C19" s="63">
        <v>6</v>
      </c>
      <c r="D19" s="348" t="s">
        <v>818</v>
      </c>
    </row>
    <row r="20" spans="1:4" customFormat="1" ht="15.6" x14ac:dyDescent="0.25">
      <c r="A20" s="63"/>
      <c r="B20" s="107"/>
      <c r="C20" s="63"/>
      <c r="D20" s="347"/>
    </row>
    <row r="21" spans="1:4" customFormat="1" ht="62.4" x14ac:dyDescent="0.25">
      <c r="A21" s="63"/>
      <c r="B21" s="66"/>
      <c r="C21" s="63">
        <v>7</v>
      </c>
      <c r="D21" s="348" t="s">
        <v>1074</v>
      </c>
    </row>
    <row r="22" spans="1:4" customFormat="1" ht="109.2" x14ac:dyDescent="0.25">
      <c r="A22" s="63"/>
      <c r="B22" s="107"/>
      <c r="C22" s="63"/>
      <c r="D22" s="348" t="s">
        <v>948</v>
      </c>
    </row>
    <row r="23" spans="1:4" customFormat="1" x14ac:dyDescent="0.25">
      <c r="A23" s="63"/>
      <c r="B23" s="107"/>
      <c r="C23" s="63"/>
      <c r="D23" s="63"/>
    </row>
    <row r="24" spans="1:4" customFormat="1" x14ac:dyDescent="0.25">
      <c r="A24" s="63"/>
      <c r="B24" s="346" t="s">
        <v>819</v>
      </c>
      <c r="C24" s="63"/>
      <c r="D24" s="63"/>
    </row>
    <row r="25" spans="1:4" customFormat="1" x14ac:dyDescent="0.25">
      <c r="A25" s="63"/>
      <c r="B25" s="346"/>
      <c r="C25" s="63"/>
      <c r="D25" s="63"/>
    </row>
    <row r="26" spans="1:4" customFormat="1" ht="31.2" x14ac:dyDescent="0.25">
      <c r="A26" s="63"/>
      <c r="B26" s="66"/>
      <c r="C26" s="63">
        <v>8</v>
      </c>
      <c r="D26" s="348" t="s">
        <v>820</v>
      </c>
    </row>
    <row r="27" spans="1:4" customFormat="1" ht="15.6" x14ac:dyDescent="0.25">
      <c r="A27" s="63"/>
      <c r="B27" s="346"/>
      <c r="C27" s="63"/>
      <c r="D27" s="347"/>
    </row>
    <row r="28" spans="1:4" customFormat="1" ht="15.6" x14ac:dyDescent="0.25">
      <c r="A28" s="63"/>
      <c r="B28" s="66"/>
      <c r="C28" s="63">
        <v>9</v>
      </c>
      <c r="D28" s="347" t="s">
        <v>821</v>
      </c>
    </row>
    <row r="29" spans="1:4" customFormat="1" ht="15.6" x14ac:dyDescent="0.25">
      <c r="A29" s="63"/>
      <c r="B29" s="346"/>
      <c r="C29" s="63"/>
      <c r="D29" s="347"/>
    </row>
    <row r="30" spans="1:4" customFormat="1" ht="46.8" x14ac:dyDescent="0.25">
      <c r="A30" s="63"/>
      <c r="B30" s="66"/>
      <c r="C30" s="63">
        <v>10</v>
      </c>
      <c r="D30" s="348" t="s">
        <v>822</v>
      </c>
    </row>
    <row r="31" spans="1:4" customFormat="1" ht="15.6" x14ac:dyDescent="0.25">
      <c r="A31" s="63"/>
      <c r="B31" s="346"/>
      <c r="C31" s="63"/>
      <c r="D31" s="347"/>
    </row>
    <row r="32" spans="1:4" customFormat="1" x14ac:dyDescent="0.25">
      <c r="A32" s="63"/>
      <c r="B32" s="346"/>
      <c r="C32" s="63"/>
      <c r="D32" s="63"/>
    </row>
    <row r="33" spans="1:4" customFormat="1" x14ac:dyDescent="0.25">
      <c r="A33" s="63"/>
      <c r="B33" s="346" t="s">
        <v>823</v>
      </c>
      <c r="C33" s="63"/>
      <c r="D33" s="63"/>
    </row>
    <row r="34" spans="1:4" customFormat="1" x14ac:dyDescent="0.25">
      <c r="A34" s="63"/>
      <c r="B34" s="346"/>
      <c r="C34" s="63"/>
      <c r="D34" s="63"/>
    </row>
    <row r="35" spans="1:4" customFormat="1" ht="62.4" x14ac:dyDescent="0.25">
      <c r="A35" s="63"/>
      <c r="B35" s="66"/>
      <c r="C35" s="63">
        <v>11</v>
      </c>
      <c r="D35" s="348" t="s">
        <v>910</v>
      </c>
    </row>
    <row r="36" spans="1:4" customFormat="1" ht="15.6" x14ac:dyDescent="0.25">
      <c r="A36" s="63"/>
      <c r="B36" s="346"/>
      <c r="C36" s="63"/>
      <c r="D36" s="347"/>
    </row>
    <row r="37" spans="1:4" customFormat="1" ht="31.2" x14ac:dyDescent="0.25">
      <c r="A37" s="63"/>
      <c r="B37" s="66"/>
      <c r="C37" s="63">
        <v>12</v>
      </c>
      <c r="D37" s="348" t="s">
        <v>824</v>
      </c>
    </row>
    <row r="38" spans="1:4" customFormat="1" ht="15.6" x14ac:dyDescent="0.25">
      <c r="A38" s="63"/>
      <c r="B38" s="107"/>
      <c r="C38" s="63"/>
      <c r="D38" s="347"/>
    </row>
    <row r="39" spans="1:4" customFormat="1" ht="15.6" x14ac:dyDescent="0.25">
      <c r="A39" s="63"/>
      <c r="B39" s="66"/>
      <c r="C39" s="63">
        <v>13</v>
      </c>
      <c r="D39" s="348" t="s">
        <v>825</v>
      </c>
    </row>
    <row r="40" spans="1:4" customFormat="1" ht="15.6" x14ac:dyDescent="0.25">
      <c r="A40" s="63"/>
      <c r="B40" s="107"/>
      <c r="C40" s="63"/>
      <c r="D40" s="347"/>
    </row>
    <row r="41" spans="1:4" customFormat="1" x14ac:dyDescent="0.25">
      <c r="A41" s="63"/>
      <c r="B41" s="107"/>
      <c r="C41" s="63"/>
      <c r="D41" s="63"/>
    </row>
    <row r="42" spans="1:4" customFormat="1" ht="15.6" x14ac:dyDescent="0.25">
      <c r="A42" s="63"/>
      <c r="B42" s="429" t="s">
        <v>912</v>
      </c>
      <c r="C42" s="63"/>
      <c r="D42" s="63"/>
    </row>
    <row r="43" spans="1:4" customFormat="1" x14ac:dyDescent="0.25">
      <c r="A43" s="63"/>
      <c r="B43" s="63"/>
      <c r="C43" s="63"/>
      <c r="D43" s="63"/>
    </row>
    <row r="44" spans="1:4" customFormat="1" ht="15.6" x14ac:dyDescent="0.25">
      <c r="A44" s="63"/>
      <c r="B44" s="66"/>
      <c r="C44" s="63">
        <v>14</v>
      </c>
      <c r="D44" s="349" t="s">
        <v>911</v>
      </c>
    </row>
    <row r="45" spans="1:4" customFormat="1" ht="15.6" x14ac:dyDescent="0.25">
      <c r="A45" s="63"/>
      <c r="B45" s="107"/>
      <c r="C45" s="63"/>
      <c r="D45" s="349"/>
    </row>
    <row r="46" spans="1:4" customFormat="1" ht="31.2" x14ac:dyDescent="0.25">
      <c r="A46" s="63"/>
      <c r="B46" s="66"/>
      <c r="C46" s="63">
        <v>15</v>
      </c>
      <c r="D46" s="350" t="s">
        <v>1114</v>
      </c>
    </row>
    <row r="47" spans="1:4" customFormat="1" ht="15.6" x14ac:dyDescent="0.25">
      <c r="A47" s="63"/>
      <c r="B47" s="107"/>
      <c r="C47" s="63"/>
      <c r="D47" s="349"/>
    </row>
    <row r="48" spans="1:4" customFormat="1" ht="15.6" x14ac:dyDescent="0.25">
      <c r="A48" s="63"/>
      <c r="B48" s="66"/>
      <c r="C48" s="63">
        <v>16</v>
      </c>
      <c r="D48" s="350" t="s">
        <v>826</v>
      </c>
    </row>
    <row r="50" spans="2:4" customFormat="1" ht="31.2" x14ac:dyDescent="0.25">
      <c r="B50" s="66"/>
      <c r="C50" s="63">
        <v>17</v>
      </c>
      <c r="D50" s="350" t="s">
        <v>925</v>
      </c>
    </row>
    <row r="51" spans="2:4" customFormat="1" x14ac:dyDescent="0.25">
      <c r="B51" s="346"/>
      <c r="C51" s="63"/>
      <c r="D51" s="63"/>
    </row>
    <row r="52" spans="2:4" customFormat="1" ht="15.6" x14ac:dyDescent="0.25">
      <c r="B52" s="66"/>
      <c r="C52" s="63">
        <v>18</v>
      </c>
      <c r="D52" s="349" t="s">
        <v>927</v>
      </c>
    </row>
    <row r="53" spans="2:4" customFormat="1" x14ac:dyDescent="0.25">
      <c r="B53" s="63"/>
      <c r="C53" s="63"/>
      <c r="D53" s="63"/>
    </row>
    <row r="54" spans="2:4" customFormat="1" ht="15.6" x14ac:dyDescent="0.25">
      <c r="B54" s="66"/>
      <c r="C54" s="63">
        <v>19</v>
      </c>
      <c r="D54" s="349" t="s">
        <v>827</v>
      </c>
    </row>
    <row r="55" spans="2:4" customFormat="1" x14ac:dyDescent="0.25">
      <c r="B55" s="63"/>
      <c r="C55" s="63"/>
      <c r="D55" s="63"/>
    </row>
    <row r="56" spans="2:4" customFormat="1" x14ac:dyDescent="0.25">
      <c r="B56" s="346" t="s">
        <v>828</v>
      </c>
      <c r="C56" s="63"/>
      <c r="D56" s="63"/>
    </row>
    <row r="57" spans="2:4" customFormat="1" x14ac:dyDescent="0.25">
      <c r="B57" s="63"/>
      <c r="C57" s="63"/>
      <c r="D57" s="63"/>
    </row>
    <row r="58" spans="2:4" customFormat="1" ht="31.2" x14ac:dyDescent="0.25">
      <c r="B58" s="351"/>
      <c r="C58" s="352">
        <v>20</v>
      </c>
      <c r="D58" s="350" t="s">
        <v>972</v>
      </c>
    </row>
    <row r="59" spans="2:4" customFormat="1" x14ac:dyDescent="0.25">
      <c r="B59" s="353"/>
      <c r="C59" s="353"/>
      <c r="D59" s="353"/>
    </row>
    <row r="60" spans="2:4" customFormat="1" ht="15.6" x14ac:dyDescent="0.25">
      <c r="B60" s="351"/>
      <c r="C60" s="352">
        <v>21</v>
      </c>
      <c r="D60" s="350" t="s">
        <v>926</v>
      </c>
    </row>
    <row r="61" spans="2:4" customFormat="1" x14ac:dyDescent="0.25">
      <c r="B61" s="353"/>
      <c r="C61" s="353"/>
      <c r="D61" s="353"/>
    </row>
    <row r="62" spans="2:4" customFormat="1" ht="46.8" x14ac:dyDescent="0.25">
      <c r="B62" s="351"/>
      <c r="C62" s="352">
        <v>22</v>
      </c>
      <c r="D62" s="350" t="s">
        <v>909</v>
      </c>
    </row>
    <row r="63" spans="2:4" customFormat="1" x14ac:dyDescent="0.25">
      <c r="B63" s="353"/>
      <c r="C63" s="353"/>
      <c r="D63" s="353"/>
    </row>
    <row r="64" spans="2:4" customFormat="1" ht="31.2" x14ac:dyDescent="0.25">
      <c r="B64" s="66"/>
      <c r="C64" s="63">
        <v>23</v>
      </c>
      <c r="D64" s="350" t="s">
        <v>924</v>
      </c>
    </row>
    <row r="66" spans="3:4" customFormat="1" ht="15.6" x14ac:dyDescent="0.25">
      <c r="C66" s="63">
        <v>24</v>
      </c>
      <c r="D66" s="350" t="s">
        <v>923</v>
      </c>
    </row>
  </sheetData>
  <sheetProtection formatCells="0" autoFilter="0"/>
  <dataValidations count="2">
    <dataValidation type="list" allowBlank="1" showInputMessage="1" showErrorMessage="1" sqref="B19" xr:uid="{56D252CA-A435-44BF-8232-FE4DCA55A775}">
      <formula1>$Q$1:$Q$2</formula1>
    </dataValidation>
    <dataValidation type="list" allowBlank="1" showInputMessage="1" showErrorMessage="1" sqref="B36 B33 B30 B21 B18 B15 B12 B24 B26:B27" xr:uid="{031D063D-58C3-4BD0-A955-16E950C133B7}">
      <formula1>YN</formula1>
    </dataValidation>
  </dataValidations>
  <pageMargins left="0.35" right="0.45" top="1.18" bottom="0.75" header="0.35" footer="0.5"/>
  <pageSetup scale="66" orientation="portrait" r:id="rId1"/>
  <headerFooter>
    <oddHeader xml:space="preserve">&amp;L&amp;"Times New Roman,Bold"&amp;12&amp;K870E00&amp;G&amp;R &amp;"Times New Roman,Bold"&amp;12 &amp;K870E002023 ACFR Information&amp;"Arial,Regular"&amp;10&amp;K000000
</oddHeader>
    <oddFooter>&amp;L&amp;"Times New Roman,Italic"&amp;9Page &amp;P of &amp;N
&amp;Z&amp;F &amp;A&amp;R&amp;"Times New Roman,Italic"&amp;9&amp;D &amp;T</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00"/>
    <pageSetUpPr fitToPage="1"/>
  </sheetPr>
  <dimension ref="B1:DG81"/>
  <sheetViews>
    <sheetView topLeftCell="A5" zoomScale="95" zoomScaleNormal="95" workbookViewId="0">
      <selection activeCell="E34" sqref="E34"/>
    </sheetView>
  </sheetViews>
  <sheetFormatPr defaultColWidth="9.44140625" defaultRowHeight="13.2" outlineLevelCol="2" x14ac:dyDescent="0.25"/>
  <cols>
    <col min="1" max="1" width="3.5546875" style="17" customWidth="1"/>
    <col min="2" max="2" width="14.44140625" style="17" customWidth="1"/>
    <col min="3" max="3" width="18.44140625" style="17" customWidth="1"/>
    <col min="4" max="4" width="13.5546875" style="17" customWidth="1"/>
    <col min="5" max="5" width="44.44140625" style="17" customWidth="1"/>
    <col min="6" max="6" width="17" style="17" customWidth="1"/>
    <col min="7" max="7" width="16.44140625" style="17" customWidth="1"/>
    <col min="8" max="8" width="16.44140625" style="18" customWidth="1"/>
    <col min="9" max="9" width="14" style="17" customWidth="1"/>
    <col min="10" max="10" width="12.5546875" style="132" customWidth="1"/>
    <col min="11" max="11" width="13.5546875" style="17" bestFit="1" customWidth="1"/>
    <col min="12" max="12" width="10.5546875" style="18" customWidth="1"/>
    <col min="13" max="13" width="12.5546875" style="17" customWidth="1"/>
    <col min="14" max="14" width="11.5546875" style="17" customWidth="1"/>
    <col min="15" max="15" width="12.44140625" style="17" customWidth="1"/>
    <col min="16" max="16" width="11.5546875" style="17" bestFit="1" customWidth="1"/>
    <col min="17" max="17" width="10.5546875" style="17" customWidth="1"/>
    <col min="18" max="18" width="12.5546875" style="17" bestFit="1" customWidth="1"/>
    <col min="19" max="19" width="12.5546875" style="17" customWidth="1"/>
    <col min="20" max="20" width="19.44140625" style="27" customWidth="1"/>
    <col min="21" max="21" width="29.44140625" style="27" customWidth="1"/>
    <col min="22" max="22" width="15.44140625" style="17" customWidth="1"/>
    <col min="23" max="23" width="13.5546875" style="27" customWidth="1"/>
    <col min="24" max="24" width="13.44140625" style="17" customWidth="1"/>
    <col min="25" max="28" width="9.44140625" style="17" hidden="1" customWidth="1" outlineLevel="1"/>
    <col min="29" max="29" width="4.5546875" style="17" hidden="1" customWidth="1" outlineLevel="2"/>
    <col min="30" max="31" width="3.44140625" style="17" hidden="1" customWidth="1" outlineLevel="2"/>
    <col min="32" max="35" width="9.44140625" style="17" hidden="1" customWidth="1" outlineLevel="1"/>
    <col min="36" max="36" width="6.44140625" style="17" hidden="1" customWidth="1" outlineLevel="2"/>
    <col min="37" max="37" width="10.44140625" style="1" hidden="1" customWidth="1" outlineLevel="1"/>
    <col min="38" max="38" width="4.44140625" style="1" hidden="1" customWidth="1" outlineLevel="1"/>
    <col min="39" max="39" width="4.5546875" style="1" hidden="1" customWidth="1" outlineLevel="1"/>
    <col min="40" max="40" width="12" style="1" hidden="1" customWidth="1" outlineLevel="1"/>
    <col min="41" max="41" width="6.44140625" style="1" hidden="1" customWidth="1" outlineLevel="1"/>
    <col min="42" max="42" width="12.5546875" style="1" hidden="1" customWidth="1" outlineLevel="1"/>
    <col min="43" max="44" width="9.44140625" style="1" hidden="1" customWidth="1" outlineLevel="1"/>
    <col min="45" max="45" width="9.44140625" style="1" collapsed="1"/>
    <col min="46" max="54" width="9.44140625" style="1"/>
    <col min="55" max="55" width="10.5546875" style="1" customWidth="1" outlineLevel="1"/>
    <col min="56" max="56" width="65.44140625" style="1" customWidth="1" outlineLevel="1"/>
    <col min="57" max="58" width="9.44140625" style="1" customWidth="1" outlineLevel="1"/>
    <col min="59" max="68" width="9.44140625" style="1"/>
    <col min="69" max="107" width="9.44140625" style="17"/>
    <col min="108" max="111" width="9.44140625" style="17" customWidth="1"/>
    <col min="112" max="16384" width="9.44140625" style="17"/>
  </cols>
  <sheetData>
    <row r="1" spans="2:111" ht="17.399999999999999" x14ac:dyDescent="0.25">
      <c r="B1" s="128" t="s">
        <v>123</v>
      </c>
      <c r="G1" s="29"/>
      <c r="H1" s="29"/>
      <c r="I1" s="29"/>
      <c r="J1" s="29"/>
      <c r="K1" s="29"/>
      <c r="P1" s="29"/>
      <c r="DD1" s="115"/>
      <c r="DE1" s="116"/>
      <c r="DF1" s="117"/>
      <c r="DG1" s="118"/>
    </row>
    <row r="2" spans="2:111" ht="13.8" thickBot="1" x14ac:dyDescent="0.3">
      <c r="G2" s="29"/>
      <c r="H2" s="29"/>
      <c r="I2" s="29"/>
      <c r="J2" s="29"/>
      <c r="K2" s="29"/>
      <c r="P2" s="29"/>
      <c r="DD2" s="119"/>
      <c r="DE2" s="55"/>
      <c r="DF2" s="119"/>
      <c r="DG2" s="120"/>
    </row>
    <row r="3" spans="2:111" x14ac:dyDescent="0.25">
      <c r="B3" s="17" t="s">
        <v>204</v>
      </c>
      <c r="C3" s="469" t="s">
        <v>11</v>
      </c>
      <c r="D3" s="466"/>
      <c r="E3" s="480"/>
      <c r="F3" s="14"/>
      <c r="G3" s="14" t="s">
        <v>327</v>
      </c>
      <c r="H3" s="31"/>
      <c r="I3" s="14"/>
      <c r="J3" s="14"/>
      <c r="K3" s="14"/>
      <c r="L3" s="31"/>
      <c r="M3" s="14"/>
      <c r="N3" s="14"/>
      <c r="O3" s="14"/>
      <c r="P3" s="29"/>
      <c r="Q3" s="14"/>
      <c r="R3" s="14"/>
      <c r="S3" s="14"/>
      <c r="T3" s="76"/>
      <c r="U3" s="76"/>
      <c r="V3" s="14"/>
      <c r="W3" s="130"/>
      <c r="X3" s="30"/>
      <c r="DD3" s="119"/>
      <c r="DE3" s="55"/>
      <c r="DF3" s="119"/>
      <c r="DG3" s="120"/>
    </row>
    <row r="4" spans="2:111" x14ac:dyDescent="0.25">
      <c r="C4" s="470" t="s">
        <v>12</v>
      </c>
      <c r="D4" s="467"/>
      <c r="E4" s="273" t="e">
        <f>VLOOKUP(E3,'Entity List 6.24.2026'!$A$1:$C$130,2,FALSE)</f>
        <v>#N/A</v>
      </c>
      <c r="F4" s="14"/>
      <c r="G4" s="14" t="s">
        <v>328</v>
      </c>
      <c r="H4" s="31"/>
      <c r="I4" s="14"/>
      <c r="J4" s="14"/>
      <c r="K4" s="14"/>
      <c r="L4" s="31"/>
      <c r="M4" s="14"/>
      <c r="N4" s="14"/>
      <c r="O4" s="14"/>
      <c r="P4" s="29"/>
      <c r="Q4" s="14"/>
      <c r="R4" s="14"/>
      <c r="S4" s="14"/>
      <c r="T4" s="76"/>
      <c r="U4" s="76"/>
      <c r="V4" s="14"/>
      <c r="W4" s="130"/>
      <c r="X4" s="30"/>
      <c r="DD4" s="119"/>
      <c r="DE4" s="55"/>
      <c r="DF4" s="119"/>
      <c r="DG4" s="120"/>
    </row>
    <row r="5" spans="2:111" x14ac:dyDescent="0.25">
      <c r="C5" s="470" t="s">
        <v>150</v>
      </c>
      <c r="D5" s="467"/>
      <c r="E5" s="273"/>
      <c r="F5" s="14"/>
      <c r="G5" s="14"/>
      <c r="H5" s="31"/>
      <c r="I5" s="14"/>
      <c r="J5" s="14"/>
      <c r="K5" s="14"/>
      <c r="L5" s="31"/>
      <c r="M5" s="14"/>
      <c r="N5" s="14"/>
      <c r="O5" s="14"/>
      <c r="P5" s="29"/>
      <c r="Q5" s="14"/>
      <c r="R5" s="14"/>
      <c r="S5" s="14"/>
      <c r="T5" s="76"/>
      <c r="U5" s="76"/>
      <c r="V5" s="14"/>
      <c r="W5" s="130"/>
      <c r="X5" s="30"/>
      <c r="DD5" s="119"/>
      <c r="DE5" s="55"/>
      <c r="DF5" s="119"/>
      <c r="DG5" s="120"/>
    </row>
    <row r="6" spans="2:111" x14ac:dyDescent="0.25">
      <c r="C6" s="470" t="s">
        <v>317</v>
      </c>
      <c r="D6" s="467"/>
      <c r="E6" s="274"/>
      <c r="F6" s="14"/>
      <c r="G6" s="14"/>
      <c r="H6" s="31"/>
      <c r="I6" s="14"/>
      <c r="J6" s="14"/>
      <c r="K6" s="14"/>
      <c r="L6" s="31"/>
      <c r="M6" s="14"/>
      <c r="N6" s="14"/>
      <c r="O6" s="14"/>
      <c r="P6" s="29"/>
      <c r="Q6" s="14"/>
      <c r="R6" s="14"/>
      <c r="S6" s="14"/>
      <c r="T6" s="76"/>
      <c r="U6" s="76"/>
      <c r="V6" s="14"/>
      <c r="W6" s="130"/>
      <c r="X6" s="30"/>
      <c r="DD6" s="119"/>
      <c r="DE6" s="55"/>
      <c r="DF6" s="119"/>
      <c r="DG6" s="120"/>
    </row>
    <row r="7" spans="2:111" ht="13.8" thickBot="1" x14ac:dyDescent="0.3">
      <c r="C7" s="471" t="s">
        <v>151</v>
      </c>
      <c r="D7" s="468"/>
      <c r="E7" s="275"/>
      <c r="F7" s="14"/>
      <c r="G7" s="14"/>
      <c r="H7" s="31"/>
      <c r="I7" s="14"/>
      <c r="J7" s="14"/>
      <c r="K7" s="14"/>
      <c r="L7" s="31"/>
      <c r="M7" s="14"/>
      <c r="N7" s="14"/>
      <c r="O7" s="14"/>
      <c r="P7" s="29"/>
      <c r="Q7" s="14"/>
      <c r="R7" s="14"/>
      <c r="S7" s="14"/>
      <c r="T7" s="76"/>
      <c r="U7" s="76"/>
      <c r="V7" s="14"/>
      <c r="W7" s="130"/>
      <c r="X7" s="30"/>
      <c r="DD7" s="119"/>
      <c r="DE7" s="55"/>
      <c r="DF7" s="119"/>
      <c r="DG7" s="120"/>
    </row>
    <row r="8" spans="2:111" ht="13.8" thickBot="1" x14ac:dyDescent="0.3">
      <c r="C8" s="32"/>
      <c r="D8" s="32"/>
      <c r="E8" s="14"/>
      <c r="F8" s="14"/>
      <c r="G8" s="14"/>
      <c r="H8" s="31"/>
      <c r="I8" s="14"/>
      <c r="J8" s="14"/>
      <c r="K8" s="14"/>
      <c r="L8" s="31"/>
      <c r="M8" s="14"/>
      <c r="N8" s="14"/>
      <c r="O8" s="14"/>
      <c r="P8" s="29"/>
      <c r="Q8" s="14"/>
      <c r="R8" s="14"/>
      <c r="S8" s="14"/>
      <c r="T8" s="76"/>
      <c r="U8" s="76"/>
      <c r="V8" s="14"/>
      <c r="W8" s="130"/>
      <c r="X8" s="30"/>
      <c r="DD8" s="119"/>
      <c r="DE8" s="55"/>
      <c r="DF8" s="119"/>
      <c r="DG8" s="120"/>
    </row>
    <row r="9" spans="2:111" ht="14.4" thickBot="1" x14ac:dyDescent="0.3">
      <c r="B9" s="68" t="s">
        <v>205</v>
      </c>
      <c r="C9" s="121"/>
      <c r="D9" s="93" t="s">
        <v>430</v>
      </c>
      <c r="E9" s="14"/>
      <c r="F9" s="14"/>
      <c r="G9" s="14"/>
      <c r="H9" s="31"/>
      <c r="I9" s="14"/>
      <c r="J9" s="14"/>
      <c r="K9" s="14"/>
      <c r="L9" s="31"/>
      <c r="M9" s="14"/>
      <c r="N9" s="14"/>
      <c r="O9" s="14"/>
      <c r="P9" s="29"/>
      <c r="Q9" s="14"/>
      <c r="R9" s="14"/>
      <c r="S9" s="14"/>
      <c r="T9" s="76"/>
      <c r="U9" s="76"/>
      <c r="V9" s="14"/>
      <c r="W9" s="130"/>
      <c r="X9" s="30"/>
      <c r="DD9" s="119"/>
      <c r="DE9" s="55"/>
      <c r="DF9" s="119"/>
      <c r="DG9" s="120"/>
    </row>
    <row r="10" spans="2:111" ht="13.8" x14ac:dyDescent="0.25">
      <c r="C10" s="70"/>
      <c r="D10" s="69"/>
      <c r="E10" s="14"/>
      <c r="F10" s="14"/>
      <c r="G10" s="14"/>
      <c r="H10" s="31"/>
      <c r="I10" s="14"/>
      <c r="J10" s="14"/>
      <c r="K10" s="14"/>
      <c r="L10" s="31"/>
      <c r="M10" s="14"/>
      <c r="N10" s="14"/>
      <c r="O10" s="14"/>
      <c r="P10" s="29"/>
      <c r="Q10" s="14"/>
      <c r="R10" s="14"/>
      <c r="S10" s="14"/>
      <c r="T10" s="76"/>
      <c r="U10" s="76"/>
      <c r="V10" s="14"/>
      <c r="W10" s="130"/>
      <c r="X10" s="30"/>
      <c r="DD10" s="119"/>
      <c r="DE10" s="55"/>
      <c r="DF10" s="119"/>
      <c r="DG10" s="120"/>
    </row>
    <row r="11" spans="2:111" ht="15.6" x14ac:dyDescent="0.3">
      <c r="B11" s="533" t="s">
        <v>17</v>
      </c>
      <c r="C11" s="533"/>
      <c r="D11" s="533"/>
      <c r="E11" s="533"/>
      <c r="F11" s="533"/>
      <c r="G11" s="533"/>
      <c r="H11" s="533"/>
      <c r="I11" s="533"/>
      <c r="J11" s="533"/>
      <c r="K11" s="533"/>
      <c r="L11" s="533"/>
      <c r="M11" s="533"/>
      <c r="N11" s="533"/>
      <c r="O11" s="533"/>
      <c r="P11" s="533"/>
      <c r="Q11" s="533"/>
      <c r="R11" s="533"/>
      <c r="S11" s="533"/>
      <c r="T11" s="533"/>
      <c r="U11" s="533"/>
      <c r="V11" s="533"/>
      <c r="W11" s="533"/>
      <c r="X11" s="71"/>
      <c r="Y11" s="71"/>
      <c r="Z11" s="71"/>
      <c r="AA11" s="71"/>
      <c r="AB11" s="71"/>
      <c r="AF11" s="71"/>
      <c r="AG11" s="71"/>
      <c r="AH11" s="71"/>
      <c r="AI11" s="71"/>
      <c r="AK11" s="59"/>
      <c r="AL11" s="59"/>
      <c r="AM11" s="59"/>
      <c r="AN11" s="59"/>
      <c r="AO11" s="59"/>
      <c r="AP11" s="59"/>
      <c r="AQ11" s="59"/>
      <c r="DD11" s="119"/>
      <c r="DE11" s="55"/>
      <c r="DF11" s="119"/>
      <c r="DG11" s="120"/>
    </row>
    <row r="12" spans="2:111" x14ac:dyDescent="0.2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J12" s="15"/>
      <c r="AK12" s="15"/>
      <c r="AL12" s="15"/>
      <c r="DD12" s="119"/>
      <c r="DE12" s="55"/>
      <c r="DF12" s="119"/>
      <c r="DG12" s="120"/>
    </row>
    <row r="13" spans="2:111" x14ac:dyDescent="0.25">
      <c r="B13" s="68" t="s">
        <v>206</v>
      </c>
      <c r="C13" s="81" t="s">
        <v>207</v>
      </c>
      <c r="D13" s="81"/>
      <c r="E13" s="81"/>
      <c r="F13" s="15"/>
      <c r="G13" s="15"/>
      <c r="H13" s="15"/>
      <c r="I13" s="71"/>
      <c r="J13" s="71"/>
      <c r="K13" s="71"/>
      <c r="L13" s="15"/>
      <c r="M13" s="71"/>
      <c r="N13" s="71"/>
      <c r="O13" s="71"/>
      <c r="P13" s="71"/>
      <c r="Q13" s="71"/>
      <c r="R13" s="71"/>
      <c r="S13" s="71"/>
      <c r="T13" s="15"/>
      <c r="U13" s="15"/>
      <c r="V13" s="71"/>
      <c r="W13" s="15"/>
      <c r="X13" s="71"/>
      <c r="DD13" s="119"/>
      <c r="DE13" s="55"/>
      <c r="DF13" s="119"/>
      <c r="DG13" s="120"/>
    </row>
    <row r="14" spans="2:111" ht="13.8" thickBot="1" x14ac:dyDescent="0.3">
      <c r="E14" s="17" t="s">
        <v>106</v>
      </c>
      <c r="F14" s="15"/>
      <c r="G14" s="15"/>
      <c r="H14" s="15"/>
      <c r="I14" s="71"/>
      <c r="J14" s="227"/>
      <c r="K14" s="71"/>
      <c r="L14" s="15"/>
      <c r="M14" s="71"/>
      <c r="N14" s="71"/>
      <c r="O14" s="71"/>
      <c r="P14" s="71"/>
      <c r="Q14" s="71"/>
      <c r="R14" s="71"/>
      <c r="S14" s="71"/>
      <c r="T14" s="15"/>
      <c r="U14" s="15"/>
      <c r="V14" s="71"/>
      <c r="W14" s="15"/>
      <c r="X14" s="71"/>
      <c r="DD14" s="119"/>
      <c r="DE14" s="55"/>
      <c r="DF14" s="119"/>
      <c r="DG14" s="120"/>
    </row>
    <row r="15" spans="2:111" ht="14.4" thickBot="1" x14ac:dyDescent="0.3">
      <c r="B15" s="303" t="s">
        <v>79</v>
      </c>
      <c r="C15" s="304"/>
      <c r="D15" s="304"/>
      <c r="E15" s="304"/>
      <c r="F15" s="304"/>
      <c r="G15" s="304"/>
      <c r="H15" s="304"/>
      <c r="I15" s="304"/>
      <c r="J15" s="304"/>
      <c r="K15" s="304"/>
      <c r="L15" s="304"/>
      <c r="M15" s="304"/>
      <c r="N15" s="304"/>
      <c r="O15" s="304"/>
      <c r="P15" s="304"/>
      <c r="Q15" s="304"/>
      <c r="R15" s="304"/>
      <c r="S15" s="304"/>
      <c r="T15" s="304"/>
      <c r="U15" s="304"/>
      <c r="V15" s="304"/>
      <c r="W15" s="305"/>
      <c r="DD15" s="119"/>
      <c r="DE15" s="55"/>
      <c r="DF15" s="119"/>
      <c r="DG15" s="120"/>
    </row>
    <row r="16" spans="2:111" ht="30.6" customHeight="1" thickBot="1" x14ac:dyDescent="0.3">
      <c r="B16" s="300" t="s">
        <v>78</v>
      </c>
      <c r="C16" s="301"/>
      <c r="D16" s="301"/>
      <c r="E16" s="301"/>
      <c r="F16" s="301"/>
      <c r="G16" s="301"/>
      <c r="H16" s="302"/>
      <c r="I16" s="530" t="s">
        <v>22</v>
      </c>
      <c r="J16" s="531"/>
      <c r="K16" s="531"/>
      <c r="L16" s="531"/>
      <c r="M16" s="531"/>
      <c r="N16" s="531"/>
      <c r="O16" s="532"/>
      <c r="P16" s="318"/>
      <c r="Q16" s="534" t="s">
        <v>26</v>
      </c>
      <c r="R16" s="535"/>
      <c r="S16" s="536"/>
      <c r="T16" s="325" t="s">
        <v>28</v>
      </c>
      <c r="U16" s="316" t="s">
        <v>4</v>
      </c>
      <c r="V16" s="538" t="s">
        <v>404</v>
      </c>
      <c r="W16" s="539"/>
      <c r="AN16" s="1">
        <v>2</v>
      </c>
      <c r="DD16" s="119"/>
      <c r="DE16" s="55"/>
      <c r="DF16" s="119"/>
      <c r="DG16" s="120"/>
    </row>
    <row r="17" spans="2:42" ht="13.5" customHeight="1" thickBot="1" x14ac:dyDescent="0.3">
      <c r="B17" s="448" t="s">
        <v>61</v>
      </c>
      <c r="C17" s="449" t="s">
        <v>62</v>
      </c>
      <c r="D17" s="450" t="s">
        <v>63</v>
      </c>
      <c r="E17" s="449" t="s">
        <v>64</v>
      </c>
      <c r="F17" s="451" t="s">
        <v>65</v>
      </c>
      <c r="G17" s="449" t="s">
        <v>66</v>
      </c>
      <c r="H17" s="452" t="s">
        <v>67</v>
      </c>
      <c r="I17" s="306" t="s">
        <v>69</v>
      </c>
      <c r="J17" s="307" t="s">
        <v>70</v>
      </c>
      <c r="K17" s="308" t="s">
        <v>71</v>
      </c>
      <c r="L17" s="309" t="s">
        <v>72</v>
      </c>
      <c r="M17" s="309" t="s">
        <v>73</v>
      </c>
      <c r="N17" s="309" t="s">
        <v>74</v>
      </c>
      <c r="O17" s="307" t="s">
        <v>385</v>
      </c>
      <c r="P17" s="337" t="s">
        <v>75</v>
      </c>
      <c r="Q17" s="340" t="s">
        <v>76</v>
      </c>
      <c r="R17" s="341" t="s">
        <v>77</v>
      </c>
      <c r="S17" s="342" t="s">
        <v>386</v>
      </c>
      <c r="T17" s="326" t="s">
        <v>387</v>
      </c>
      <c r="U17" s="317" t="s">
        <v>388</v>
      </c>
      <c r="V17" s="328" t="s">
        <v>389</v>
      </c>
      <c r="W17" s="329" t="s">
        <v>412</v>
      </c>
    </row>
    <row r="18" spans="2:42" s="27" customFormat="1" ht="59.55" customHeight="1" x14ac:dyDescent="0.3">
      <c r="B18" s="445" t="s">
        <v>373</v>
      </c>
      <c r="C18" s="446" t="s">
        <v>390</v>
      </c>
      <c r="D18" s="446" t="s">
        <v>377</v>
      </c>
      <c r="E18" s="446" t="s">
        <v>391</v>
      </c>
      <c r="F18" s="446" t="s">
        <v>371</v>
      </c>
      <c r="G18" s="446" t="s">
        <v>372</v>
      </c>
      <c r="H18" s="447" t="s">
        <v>375</v>
      </c>
      <c r="I18" s="310" t="s">
        <v>456</v>
      </c>
      <c r="J18" s="311" t="s">
        <v>374</v>
      </c>
      <c r="K18" s="540" t="s">
        <v>376</v>
      </c>
      <c r="L18" s="541"/>
      <c r="M18" s="541"/>
      <c r="N18" s="541"/>
      <c r="O18" s="542"/>
      <c r="P18" s="338" t="s">
        <v>382</v>
      </c>
      <c r="Q18" s="319" t="s">
        <v>378</v>
      </c>
      <c r="R18" s="320" t="s">
        <v>379</v>
      </c>
      <c r="S18" s="321" t="s">
        <v>411</v>
      </c>
      <c r="T18" s="357" t="s">
        <v>424</v>
      </c>
      <c r="U18" s="355" t="s">
        <v>425</v>
      </c>
      <c r="V18" s="330" t="s">
        <v>383</v>
      </c>
      <c r="W18" s="331" t="s">
        <v>384</v>
      </c>
      <c r="Y18" s="537" t="s">
        <v>950</v>
      </c>
      <c r="Z18" s="537"/>
      <c r="AA18" s="537"/>
      <c r="AB18" s="537"/>
      <c r="AF18" s="537" t="s">
        <v>700</v>
      </c>
      <c r="AG18" s="537"/>
      <c r="AH18" s="537"/>
      <c r="AI18" s="537"/>
      <c r="AK18" s="358" t="s">
        <v>634</v>
      </c>
      <c r="AL18" s="2"/>
      <c r="AM18" s="2"/>
      <c r="AN18" s="358" t="s">
        <v>28</v>
      </c>
      <c r="AO18" s="2"/>
      <c r="AP18" s="358" t="s">
        <v>4</v>
      </c>
    </row>
    <row r="19" spans="2:42" ht="13.5" customHeight="1" thickBot="1" x14ac:dyDescent="0.3">
      <c r="B19" s="335"/>
      <c r="C19" s="336"/>
      <c r="D19" s="336"/>
      <c r="E19" s="336"/>
      <c r="F19" s="336"/>
      <c r="G19" s="336"/>
      <c r="H19" s="334">
        <v>46203</v>
      </c>
      <c r="I19" s="459"/>
      <c r="J19" s="460"/>
      <c r="K19" s="312" t="s">
        <v>380</v>
      </c>
      <c r="L19" s="313" t="s">
        <v>23</v>
      </c>
      <c r="M19" s="314" t="s">
        <v>24</v>
      </c>
      <c r="N19" s="314" t="s">
        <v>25</v>
      </c>
      <c r="O19" s="315" t="s">
        <v>381</v>
      </c>
      <c r="P19" s="322"/>
      <c r="Q19" s="343"/>
      <c r="R19" s="323"/>
      <c r="S19" s="324"/>
      <c r="T19" s="327"/>
      <c r="U19" s="356"/>
      <c r="V19" s="332"/>
      <c r="W19" s="333"/>
      <c r="Y19" s="168" t="s">
        <v>610</v>
      </c>
      <c r="Z19" s="168" t="s">
        <v>589</v>
      </c>
      <c r="AA19" s="168" t="s">
        <v>411</v>
      </c>
      <c r="AB19" s="168" t="s">
        <v>635</v>
      </c>
      <c r="AF19" s="168" t="s">
        <v>610</v>
      </c>
      <c r="AG19" s="168" t="s">
        <v>589</v>
      </c>
      <c r="AH19" s="168" t="s">
        <v>411</v>
      </c>
      <c r="AI19" s="168" t="s">
        <v>635</v>
      </c>
      <c r="AK19" s="163" t="s">
        <v>636</v>
      </c>
      <c r="AN19" s="163" t="s">
        <v>665</v>
      </c>
      <c r="AP19" s="163" t="s">
        <v>666</v>
      </c>
    </row>
    <row r="20" spans="2:42" s="146" customFormat="1" x14ac:dyDescent="0.25">
      <c r="B20" s="431">
        <v>114001</v>
      </c>
      <c r="C20" s="432" t="s">
        <v>432</v>
      </c>
      <c r="D20" s="433">
        <v>6656554</v>
      </c>
      <c r="E20" s="434" t="s">
        <v>418</v>
      </c>
      <c r="F20" s="435"/>
      <c r="G20" s="436">
        <v>750000</v>
      </c>
      <c r="H20" s="455">
        <v>774123</v>
      </c>
      <c r="I20" s="461">
        <v>47269</v>
      </c>
      <c r="J20" s="290">
        <f t="shared" ref="J20" si="0">IF(I20="","N/A",(I20-$H$19))</f>
        <v>1066</v>
      </c>
      <c r="K20" s="453" t="str">
        <f t="shared" ref="K20" si="1">IF(AND(J20&lt;91),H20,"")</f>
        <v/>
      </c>
      <c r="L20" s="226" t="str">
        <f t="shared" ref="L20" si="2">IF(AND($J20&gt;90,$J20&lt;366),H20,"")</f>
        <v/>
      </c>
      <c r="M20" s="226">
        <f t="shared" ref="M20" si="3">IF(AND($J20&gt;365,$J20&lt;1826),H20,"")</f>
        <v>774123</v>
      </c>
      <c r="N20" s="226" t="str">
        <f t="shared" ref="N20" si="4">IF(AND($J20&gt;1825,$J20&lt;3651),H20,"")</f>
        <v/>
      </c>
      <c r="O20" s="288" t="str">
        <f t="shared" ref="O20" si="5">IF(OR((J20="N/A"),(J20&lt;3650)),"",H20)</f>
        <v/>
      </c>
      <c r="P20" s="339" t="s">
        <v>342</v>
      </c>
      <c r="Q20" s="344" t="s">
        <v>437</v>
      </c>
      <c r="R20" s="178" t="s">
        <v>594</v>
      </c>
      <c r="S20" s="287" t="s">
        <v>594</v>
      </c>
      <c r="T20" s="291" t="s">
        <v>60</v>
      </c>
      <c r="U20" s="291" t="s">
        <v>59</v>
      </c>
      <c r="V20" s="294" t="s">
        <v>364</v>
      </c>
      <c r="W20" s="295"/>
      <c r="Y20" s="146">
        <f>IF(P20="Long-Term",VLOOKUP(Q20,'Look-Ups-Mapping'!$A$2:$B$23,2,FALSE),IF('Investment Analysis'!P20="Short-Term",VLOOKUP('Investment Analysis'!Q20,'Look-Ups-Mapping'!$A$2:$B$23,2,FALSE),""))</f>
        <v>10</v>
      </c>
      <c r="Z20" s="146">
        <f>IF(P20="Long-Term",VLOOKUP(R20,'Look-Ups-Mapping'!$D$2:$E$24,2,FALSE),IF('Investment Analysis'!P20="Short-Term",VLOOKUP('Investment Analysis'!R20,'Look-Ups-Mapping'!$D$2:$E$24,2,FALSE),""))</f>
        <v>9</v>
      </c>
      <c r="AA20" s="146">
        <f>IF(P20="Long-Term",VLOOKUP(S20,'Look-Ups-Mapping'!$G$2:$H$22,2,FALSE),IF('Investment Analysis'!P20="Short-Term",VLOOKUP('Investment Analysis'!S20,'Look-Ups-Mapping'!$G$2:$H$22,2,FALSE),""))</f>
        <v>9</v>
      </c>
      <c r="AB20" s="146" cm="1">
        <f t="array" ref="AB20">IF(AND(ISNA(Y20)=FALSE,ISNA(Z20)=FALSE,ISNA(AA20)=FALSE),SMALL(Y20:AA20,1),IF(AND(ISNA(Y20)=TRUE,ISNA(Z20)=FALSE,ISNA(AA20)=FALSE),SMALL(Z20:AA20,1),IF(AND(ISNA(Y20)=FALSE,ISNA(Z20)=TRUE,ISNA(AA20)=FALSE),MIN(Y20,AA20),IF(AND(ISNA(Y20)=FALSE,ISNA(Z20)=FALSE,ISNA(AA20)=TRUE),SMALL(Y20:Z20,1),IF(AND(ISNA(Y20)=TRUE,ISNA(Z20)=TRUE,ISNA(AA20)=FALSE),AA20,IF(AND(ISNA(Y20)=TRUE,ISNA(Z20)=FALSE,ISNA(AA20)=TRUE),Z20,IF(AND(ISNA(Y20)=FALSE,ISNA(Z20)=TRUE,ISNA(AA20)=TRUE),Y20,IF(AND(ISNA(Y20)=TRUE,ISNA(Z20)=TRUE,ISNA(AA20)=TRUE),N/A,N/A))))))))</f>
        <v>9</v>
      </c>
      <c r="AF20" s="146" t="str">
        <f>IF($P20="Short-Term",VLOOKUP(Q20,'Look-Ups-Mapping'!$J$2:$K$5,2,FALSE),"")</f>
        <v/>
      </c>
      <c r="AG20" s="146" t="str">
        <f>IF($P20="Short-Term",VLOOKUP(R20,'Look-Ups-Mapping'!$M$2:$N$8,2,FALSE),"")</f>
        <v/>
      </c>
      <c r="AH20" s="146" t="str">
        <f>IF($P20="Short-Term",VLOOKUP(S20,'Look-Ups-Mapping'!$P$2:$Q$8,2,FALSE),"")</f>
        <v/>
      </c>
      <c r="AI20" s="146" t="e" cm="1">
        <f t="array" ref="AI20">IF(AND(ISNA(AF20)=FALSE,ISNA(AG20)=FALSE,ISNA(AH20)=FALSE),SMALL(AF20:AH20,1),IF(AND(ISNA(AF20)=TRUE,ISNA(AG20)=FALSE,ISNA(AH20)=FALSE),SMALL(AG20:AH20,1),IF(AND(ISNA(AF20)=FALSE,ISNA(AG20)=TRUE,ISNA(AH20)=FALSE),MIN(AF20,AH20),IF(AND(ISNA(AF20)=FALSE,ISNA(AG20)=FALSE,ISNA(AH20)=TRUE),SMALL(AF20:AG20,1),IF(AND(ISNA(AF20)=TRUE,ISNA(AG20)=TRUE,ISNA(AH20)=FALSE),AH20,IF(AND(ISNA(AF20)=TRUE,ISNA(AG20)=FALSE,ISNA(AH20)=TRUE),AG20,IF(AND(ISNA(AF20)=FALSE,ISNA(AG20)=TRUE,ISNA(AH20)=TRUE),AF20,IF(AND(ISNA(AF20)=TRUE,ISNA(AG20)=TRUE,ISNA(AH20)=TRUE),N/A,N/A))))))))</f>
        <v>#NUM!</v>
      </c>
      <c r="AK20" s="147">
        <f>VLOOKUP(V20,'Look-Ups-Mapping'!$A$29:$B$33,2,FALSE)</f>
        <v>24</v>
      </c>
      <c r="AL20" s="147"/>
      <c r="AM20" s="147"/>
      <c r="AN20" s="147">
        <f>VLOOKUP(T20,'Look-Ups-Mapping'!$F$34:$G$35,2,FALSE)</f>
        <v>2</v>
      </c>
      <c r="AO20" s="147"/>
      <c r="AP20" s="147">
        <f>VLOOKUP(U20,'Look-Ups-Mapping'!$F$34:$G$35,2,FALSE)</f>
        <v>1</v>
      </c>
    </row>
    <row r="21" spans="2:42" ht="12.6" customHeight="1" x14ac:dyDescent="0.25">
      <c r="B21" s="437">
        <v>115003</v>
      </c>
      <c r="C21" s="151" t="s">
        <v>435</v>
      </c>
      <c r="D21" s="152">
        <v>123456</v>
      </c>
      <c r="E21" s="229" t="s">
        <v>423</v>
      </c>
      <c r="F21" s="231"/>
      <c r="G21" s="153">
        <v>100000</v>
      </c>
      <c r="H21" s="456">
        <v>100000</v>
      </c>
      <c r="I21" s="462"/>
      <c r="J21" s="464" t="str">
        <f>IF($E21="Mutual Funds Equities","",IF($E21="Real Estate Investments","",IF($E21="Exchange Traded Funds-Equity","",IF($E21="Equity Securities-Domestic","",IF($E21="Equity Securities-International","",IF(I21="","N/A",(I21-$H$19)))))))</f>
        <v/>
      </c>
      <c r="K21" s="454" t="str">
        <f>IF($E21="Mutual Funds Equities","",IF($E21="Real Estate Investments","",IF($E21="Exchange Traded Funds-Equity","",IF($E21="Equity Securities-Domestic","",IF($E21="Equity Securities-International","",IF(AND($J21&lt;91),$H21,""))))))</f>
        <v/>
      </c>
      <c r="L21" s="225" t="str">
        <f>IF($E21="Mutual Funds Equities","",IF($E21="Real Estate Investments","",IF($E21="Exchange Traded Funds-Equity","",IF($E21="Equity Securities-Domestic","",IF($E21="Equity Securities-International","",IF(AND($J21&gt;90,$J21&lt;366),$H21,""))))))</f>
        <v/>
      </c>
      <c r="M21" s="225" t="str">
        <f>IF($E21="Mutual Funds Equities Domestic","",IF($E21="Mutual Funds Equities International","",IF($E21="Real Estate Investment Trusts","",IF($E21="Real Estate Investments","",IF($E21="Exchange Traded Funds-Equity","",IF($E21="Equity Securities-Domestic","",IF($E21="Equity Securities-International","",IF(AND($J21&gt;365,$J21&lt;1826),$H21,""))))))))</f>
        <v/>
      </c>
      <c r="N21" s="225" t="str">
        <f>IF($E21="Mutual Funds Equities","",IF($E21="Real Estate Investments","",IF($E21="Exchange Traded Funds-Equity","",IF($E21="Equity Securities-Domestic","",IF($E21="Equity Securities-International","",IF(AND($J21&gt;1825,$J21&lt;3651),H21,""))))))</f>
        <v/>
      </c>
      <c r="O21" s="289" t="str">
        <f>IF($E21="Mutual Funds Equities","",IF($E21="Real Estate Investments","",IF($E21="Exchange Traded Funds-Equity","",IF($E21="Equity Securities-Domestic","",IF($E21="Equity Securities-International","",IF(OR(($J21="N/A"),($J21&lt;3650)),"",H21))))))</f>
        <v/>
      </c>
      <c r="P21" s="388"/>
      <c r="Q21" s="389"/>
      <c r="R21" s="390"/>
      <c r="S21" s="391"/>
      <c r="T21" s="291" t="s">
        <v>60</v>
      </c>
      <c r="U21" s="291" t="s">
        <v>60</v>
      </c>
      <c r="V21" s="294" t="s">
        <v>356</v>
      </c>
      <c r="W21" s="296"/>
      <c r="Y21" s="146" t="str">
        <f>IF(P21="Long-Term",VLOOKUP(Q21,'Look-Ups-Mapping'!$A$2:$B$23,2,FALSE),IF('Investment Analysis'!P21="Short-Term",VLOOKUP('Investment Analysis'!Q21,'Look-Ups-Mapping'!$A$2:$B$23,2,FALSE),""))</f>
        <v/>
      </c>
      <c r="Z21" s="146" t="str">
        <f>IF(P21="Long-Term",VLOOKUP(R21,'Look-Ups-Mapping'!$D$2:$E$24,2,FALSE),IF('Investment Analysis'!P21="Short-Term",VLOOKUP('Investment Analysis'!R21,'Look-Ups-Mapping'!$D$2:$E$24,2,FALSE),""))</f>
        <v/>
      </c>
      <c r="AA21" s="146" t="str">
        <f>IF(P21="Long-Term",VLOOKUP(S21,'Look-Ups-Mapping'!$G$2:$H$22,2,FALSE),IF('Investment Analysis'!P21="Short-Term",VLOOKUP('Investment Analysis'!S21,'Look-Ups-Mapping'!$G$2:$H$22,2,FALSE),""))</f>
        <v/>
      </c>
      <c r="AB21" s="146" t="e" cm="1">
        <f t="array" ref="AB21">IF(AND(ISNA(Y21)=FALSE,ISNA(Z21)=FALSE,ISNA(AA21)=FALSE),SMALL(Y21:AA21,1),IF(AND(ISNA(Y21)=TRUE,ISNA(Z21)=FALSE,ISNA(AA21)=FALSE),SMALL(Z21:AA21,1),IF(AND(ISNA(Y21)=FALSE,ISNA(Z21)=TRUE,ISNA(AA21)=FALSE),MIN(Y21,AA21),IF(AND(ISNA(Y21)=FALSE,ISNA(Z21)=FALSE,ISNA(AA21)=TRUE),SMALL(Y21:Z21,1),IF(AND(ISNA(Y21)=TRUE,ISNA(Z21)=TRUE,ISNA(AA21)=FALSE),AA21,IF(AND(ISNA(Y21)=TRUE,ISNA(Z21)=FALSE,ISNA(AA21)=TRUE),Z21,IF(AND(ISNA(Y21)=FALSE,ISNA(Z21)=TRUE,ISNA(AA21)=TRUE),Y21,IF(AND(ISNA(Y21)=TRUE,ISNA(Z21)=TRUE,ISNA(AA21)=TRUE),N/A,N/A))))))))</f>
        <v>#NUM!</v>
      </c>
      <c r="AF21" s="146" t="str">
        <f>IF($P21="Short-Term",VLOOKUP(Q21,'Look-Ups-Mapping'!$J$2:$K$5,2,FALSE),"")</f>
        <v/>
      </c>
      <c r="AG21" s="146" t="str">
        <f>IF($P21="Short-Term",VLOOKUP(R21,'Look-Ups-Mapping'!$M$2:$N$8,2,FALSE),"")</f>
        <v/>
      </c>
      <c r="AH21" s="146" t="str">
        <f>IF($P21="Short-Term",VLOOKUP(S21,'Look-Ups-Mapping'!$P$2:$Q$8,2,FALSE),"")</f>
        <v/>
      </c>
      <c r="AI21" s="146" t="e" cm="1">
        <f t="array" ref="AI21">IF(AND(ISNA(AF21)=FALSE,ISNA(AG21)=FALSE,ISNA(AH21)=FALSE),SMALL(AF21:AH21,1),IF(AND(ISNA(AF21)=TRUE,ISNA(AG21)=FALSE,ISNA(AH21)=FALSE),SMALL(AG21:AH21,1),IF(AND(ISNA(AF21)=FALSE,ISNA(AG21)=TRUE,ISNA(AH21)=FALSE),MIN(AF21,AH21),IF(AND(ISNA(AF21)=FALSE,ISNA(AG21)=FALSE,ISNA(AH21)=TRUE),SMALL(AF21:AG21,1),IF(AND(ISNA(AF21)=TRUE,ISNA(AG21)=TRUE,ISNA(AH21)=FALSE),AH21,IF(AND(ISNA(AF21)=TRUE,ISNA(AG21)=FALSE,ISNA(AH21)=TRUE),AG21,IF(AND(ISNA(AF21)=FALSE,ISNA(AG21)=TRUE,ISNA(AH21)=TRUE),AF21,IF(AND(ISNA(AF21)=TRUE,ISNA(AG21)=TRUE,ISNA(AH21)=TRUE),N/A,N/A))))))))</f>
        <v>#NUM!</v>
      </c>
      <c r="AK21" s="147">
        <f>VLOOKUP(V21,'Look-Ups-Mapping'!$A$29:$B$33,2,FALSE)</f>
        <v>21</v>
      </c>
      <c r="AN21" s="147">
        <f>VLOOKUP(T21,'Look-Ups-Mapping'!$F$34:$G$35,2,FALSE)</f>
        <v>2</v>
      </c>
      <c r="AP21" s="147">
        <f>VLOOKUP(U21,'Look-Ups-Mapping'!$F$34:$G$35,2,FALSE)</f>
        <v>2</v>
      </c>
    </row>
    <row r="22" spans="2:42" x14ac:dyDescent="0.25">
      <c r="B22" s="438"/>
      <c r="C22" s="34"/>
      <c r="D22" s="36"/>
      <c r="E22" s="230"/>
      <c r="F22" s="228"/>
      <c r="G22" s="41"/>
      <c r="H22" s="457"/>
      <c r="I22" s="463"/>
      <c r="J22" s="474" t="str">
        <f>IF($E22="Mutual Funds Equities Domestic","",IF($E22="Mutual Funds Equities International","",IF($E22="Real Estate Investment Trusts","",IF($E22="Real Estate Investments","",IF($E22="Exchange Traded Funds-Equity","",IF($E22="Equity Securities-Domestic","",IF($E22="Equity Securities-International","",IF(I22="","N/A",(I22-$H$19)))))))))</f>
        <v>N/A</v>
      </c>
      <c r="K22" s="475" t="str">
        <f t="shared" ref="K22:K69" si="6">IF($E22="Mutual Funds Equities Domestic","",IF($E22="Mutual Funds Equities International","",IF($E22="Real Estate Investment Trusts","",IF($E22="Real Estate Investments","",IF($E22="Exchange Traded Funds-Equity","",IF($E22="Equity Securities-Domestic","",IF($E22="Equity Securities-International","",IF(AND($J22&lt;91),$H22,""))))))))</f>
        <v/>
      </c>
      <c r="L22" s="41" t="str">
        <f>IF($E22="Mutual Funds Equities Domestic","",IF($E22="Mutual Funds Equities International","",IF($E22="Real Estate Investment Trusts","",IF($E22="Real Estate Investments","",IF($E22="Exchange Traded Funds-Equity","",IF($E22="Equity Securities-Domestic","",IF($E22="Equity Securities-International","",IF(AND($J22&gt;90,$J22&lt;366),$H22,""))))))))</f>
        <v/>
      </c>
      <c r="M22" s="41" t="str">
        <f t="shared" ref="M22:M69" si="7">IF($E22="Mutual Funds Equities Domestic","",IF($E22="Mutual Funds Equities International","",IF($E22="Real Estate Investment Trusts","",IF($E22="Real Estate Investments","",IF($E22="Exchange Traded Funds-Equity","",IF($E22="Equity Securities-Domestic","",IF($E22="Equity Securities-International","",IF(AND($J22&gt;365,$J22&lt;1826),$H22,""))))))))</f>
        <v/>
      </c>
      <c r="N22" s="41" t="str">
        <f>IF($E22="Mutual Funds Equities Domestic","",IF($E22="Mutual Funds Equities International","",IF($E22="Real Estate Investment Trusts","",IF($E22="Real Estate Investments","",IF($E22="Exchange Traded Funds-Equity","",IF($E22="Equity Securities-Domestic","",IF($E22="Equity Securities-International","",IF(AND($J22&gt;1825,$J22&lt;3651),H22,""))))))))</f>
        <v/>
      </c>
      <c r="O22" s="476" t="str">
        <f t="shared" ref="O22:O69" si="8">IF($E22="Mutual Funds Equities Domestic","",IF($E22="Mutual Funds Equities International","",IF($E22="Real Estate Investment Trusts","",IF($E22="Real Estate Investments","",IF($E22="Exchange Traded Funds-Equity","",IF($E22="Equity Securities-Domestic","",IF($E22="Equity Securities-International","",IF(OR(($J22="N/A"),($J22&lt;3650)),"",H22))))))))</f>
        <v/>
      </c>
      <c r="P22" s="388"/>
      <c r="Q22" s="389"/>
      <c r="R22" s="390"/>
      <c r="S22" s="391"/>
      <c r="T22" s="298"/>
      <c r="U22" s="292"/>
      <c r="V22" s="392"/>
      <c r="W22" s="296"/>
      <c r="Y22" s="146" t="str">
        <f>IF(P22="Long-Term",VLOOKUP(Q22,'Look-Ups-Mapping'!$A$2:$B$23,2,FALSE),IF('Investment Analysis'!P22="Short-Term",VLOOKUP('Investment Analysis'!Q22,'Look-Ups-Mapping'!$A$2:$B$23,2,FALSE),""))</f>
        <v/>
      </c>
      <c r="Z22" s="146" t="str">
        <f>IF(P22="Long-Term",VLOOKUP(R22,'Look-Ups-Mapping'!$D$2:$E$24,2,FALSE),IF('Investment Analysis'!P22="Short-Term",VLOOKUP('Investment Analysis'!R22,'Look-Ups-Mapping'!$D$2:$E$24,2,FALSE),""))</f>
        <v/>
      </c>
      <c r="AA22" s="146" t="str">
        <f>IF(P22="Long-Term",VLOOKUP(S22,'Look-Ups-Mapping'!$G$2:$H$22,2,FALSE),IF('Investment Analysis'!P22="Short-Term",VLOOKUP('Investment Analysis'!S22,'Look-Ups-Mapping'!$G$2:$H$22,2,FALSE),""))</f>
        <v/>
      </c>
      <c r="AB22" s="146" t="e" cm="1">
        <f t="array" ref="AB22">IF(AND(ISNA(Y22)=FALSE,ISNA(Z22)=FALSE,ISNA(AA22)=FALSE),SMALL(Y22:AA22,1),IF(AND(ISNA(Y22)=TRUE,ISNA(Z22)=FALSE,ISNA(AA22)=FALSE),SMALL(Z22:AA22,1),IF(AND(ISNA(Y22)=FALSE,ISNA(Z22)=TRUE,ISNA(AA22)=FALSE),MIN(Y22,AA22),IF(AND(ISNA(Y22)=FALSE,ISNA(Z22)=FALSE,ISNA(AA22)=TRUE),SMALL(Y22:Z22,1),IF(AND(ISNA(Y22)=TRUE,ISNA(Z22)=TRUE,ISNA(AA22)=FALSE),AA22,IF(AND(ISNA(Y22)=TRUE,ISNA(Z22)=FALSE,ISNA(AA22)=TRUE),Z22,IF(AND(ISNA(Y22)=FALSE,ISNA(Z22)=TRUE,ISNA(AA22)=TRUE),Y22,IF(AND(ISNA(Y22)=TRUE,ISNA(Z22)=TRUE,ISNA(AA22)=TRUE),N/A,N/A))))))))</f>
        <v>#NUM!</v>
      </c>
      <c r="AF22" s="146" t="str">
        <f>IF($P22="Short-Term",VLOOKUP(Q22,'Look-Ups-Mapping'!$J$2:$K$5,2,FALSE),"")</f>
        <v/>
      </c>
      <c r="AG22" s="146" t="str">
        <f>IF($P22="Short-Term",VLOOKUP(R22,'Look-Ups-Mapping'!$M$2:$N$8,2,FALSE),"")</f>
        <v/>
      </c>
      <c r="AH22" s="146" t="str">
        <f>IF($P22="Short-Term",VLOOKUP(S22,'Look-Ups-Mapping'!$P$2:$Q$8,2,FALSE),"")</f>
        <v/>
      </c>
      <c r="AI22" s="146" t="e" cm="1">
        <f t="array" ref="AI22">IF(AND(ISNA(AF22)=FALSE,ISNA(AG22)=FALSE,ISNA(AH22)=FALSE),SMALL(AF22:AH22,1),IF(AND(ISNA(AF22)=TRUE,ISNA(AG22)=FALSE,ISNA(AH22)=FALSE),SMALL(AG22:AH22,1),IF(AND(ISNA(AF22)=FALSE,ISNA(AG22)=TRUE,ISNA(AH22)=FALSE),MIN(AF22,AH22),IF(AND(ISNA(AF22)=FALSE,ISNA(AG22)=FALSE,ISNA(AH22)=TRUE),SMALL(AF22:AG22,1),IF(AND(ISNA(AF22)=TRUE,ISNA(AG22)=TRUE,ISNA(AH22)=FALSE),AH22,IF(AND(ISNA(AF22)=TRUE,ISNA(AG22)=FALSE,ISNA(AH22)=TRUE),AG22,IF(AND(ISNA(AF22)=FALSE,ISNA(AG22)=TRUE,ISNA(AH22)=TRUE),AF22,IF(AND(ISNA(AF22)=TRUE,ISNA(AG22)=TRUE,ISNA(AH22)=TRUE),N/A,N/A))))))))</f>
        <v>#NUM!</v>
      </c>
      <c r="AK22" s="147" t="e">
        <f>VLOOKUP(V22,'Look-Ups-Mapping'!$A$29:$B$33,2,FALSE)</f>
        <v>#N/A</v>
      </c>
      <c r="AN22" s="147" t="e">
        <f>VLOOKUP(T22,'Look-Ups-Mapping'!$F$34:$G$35,2,FALSE)</f>
        <v>#N/A</v>
      </c>
      <c r="AP22" s="147" t="e">
        <f>VLOOKUP(U22,'Look-Ups-Mapping'!$F$34:$G$35,2,FALSE)</f>
        <v>#N/A</v>
      </c>
    </row>
    <row r="23" spans="2:42" x14ac:dyDescent="0.25">
      <c r="B23" s="438"/>
      <c r="C23" s="34"/>
      <c r="D23" s="36"/>
      <c r="E23" s="230"/>
      <c r="F23" s="228"/>
      <c r="G23" s="41"/>
      <c r="H23" s="457"/>
      <c r="I23" s="463"/>
      <c r="J23" s="474" t="str">
        <f>IF($E23="Mutual Funds Equities Domestic","",IF($E23="Mutual Funds Equities International","",IF($E23="Real Estate Investment Trusts","",IF($E23="Real Estate Investments","",IF($E23="Exchange Traded Funds-Equity","",IF($E23="Equity Securities-Domestic","",IF($E23="Equity Securities-International","",IF(I23="","N/A",(I23-$H$19)))))))))</f>
        <v>N/A</v>
      </c>
      <c r="K23" s="475" t="str">
        <f t="shared" si="6"/>
        <v/>
      </c>
      <c r="L23" s="41" t="str">
        <f t="shared" ref="L23:L69" si="9">IF($E23="Mutual Funds Equities Domestic","",IF($E23="Mutual Funds Equities International","",IF($E23="Real Estate Investment Trusts","",IF($E23="Real Estate Investments","",IF($E23="Exchange Traded Funds-Equity","",IF($E23="Equity Securities-Domestic","",IF($E23="Equity Securities-International","",IF(AND($J23&gt;90,$J23&lt;366),$H23,""))))))))</f>
        <v/>
      </c>
      <c r="M23" s="41" t="str">
        <f>IF($E23="Mutual Funds Equities Domestic","",IF($E23="Mutual Funds Equities International","",IF($E23="Real Estate Investment Trusts","",IF($E23="Real Estate Investments","",IF($E23="Exchange Traded Funds-Equity","",IF($E23="Equity Securities-Domestic","",IF($E23="Equity Securities-International","",IF(AND($J23&gt;365,$J23&lt;1826),$H23,""))))))))</f>
        <v/>
      </c>
      <c r="N23" s="41" t="str">
        <f t="shared" ref="N23:N69" si="10">IF($E23="Mutual Funds Equities Domestic","",IF($E23="Mutual Funds Equities International","",IF($E23="Real Estate Investment Trusts","",IF($E23="Real Estate Investments","",IF($E23="Exchange Traded Funds-Equity","",IF($E23="Equity Securities-Domestic","",IF($E23="Equity Securities-International","",IF(AND($J23&gt;1825,$J23&lt;3651),H23,""))))))))</f>
        <v/>
      </c>
      <c r="O23" s="476" t="str">
        <f t="shared" si="8"/>
        <v/>
      </c>
      <c r="P23" s="388"/>
      <c r="Q23" s="389"/>
      <c r="R23" s="390"/>
      <c r="S23" s="391"/>
      <c r="T23" s="298"/>
      <c r="U23" s="292"/>
      <c r="V23" s="392"/>
      <c r="W23" s="296"/>
      <c r="Y23" s="146" t="str">
        <f>IF(P23="Long-Term",VLOOKUP(Q23,'Look-Ups-Mapping'!$A$2:$B$23,2,FALSE),IF('Investment Analysis'!P23="Short-Term",VLOOKUP('Investment Analysis'!Q23,'Look-Ups-Mapping'!$A$2:$B$23,2,FALSE),""))</f>
        <v/>
      </c>
      <c r="Z23" s="146" t="str">
        <f>IF(P23="Long-Term",VLOOKUP(R23,'Look-Ups-Mapping'!$D$2:$E$24,2,FALSE),IF('Investment Analysis'!P23="Short-Term",VLOOKUP('Investment Analysis'!R23,'Look-Ups-Mapping'!$D$2:$E$24,2,FALSE),""))</f>
        <v/>
      </c>
      <c r="AA23" s="146" t="str">
        <f>IF(P23="Long-Term",VLOOKUP(S23,'Look-Ups-Mapping'!$G$2:$H$22,2,FALSE),IF('Investment Analysis'!P23="Short-Term",VLOOKUP('Investment Analysis'!S23,'Look-Ups-Mapping'!$G$2:$H$22,2,FALSE),""))</f>
        <v/>
      </c>
      <c r="AB23" s="146" t="e" cm="1">
        <f t="array" ref="AB23">IF(AND(ISNA(Y23)=FALSE,ISNA(Z23)=FALSE,ISNA(AA23)=FALSE),SMALL(Y23:AA23,1),IF(AND(ISNA(Y23)=TRUE,ISNA(Z23)=FALSE,ISNA(AA23)=FALSE),SMALL(Z23:AA23,1),IF(AND(ISNA(Y23)=FALSE,ISNA(Z23)=TRUE,ISNA(AA23)=FALSE),MIN(Y23,AA23),IF(AND(ISNA(Y23)=FALSE,ISNA(Z23)=FALSE,ISNA(AA23)=TRUE),SMALL(Y23:Z23,1),IF(AND(ISNA(Y23)=TRUE,ISNA(Z23)=TRUE,ISNA(AA23)=FALSE),AA23,IF(AND(ISNA(Y23)=TRUE,ISNA(Z23)=FALSE,ISNA(AA23)=TRUE),Z23,IF(AND(ISNA(Y23)=FALSE,ISNA(Z23)=TRUE,ISNA(AA23)=TRUE),Y23,IF(AND(ISNA(Y23)=TRUE,ISNA(Z23)=TRUE,ISNA(AA23)=TRUE),N/A,N/A))))))))</f>
        <v>#NUM!</v>
      </c>
      <c r="AF23" s="146" t="str">
        <f>IF($P23="Short-Term",VLOOKUP(Q23,'Look-Ups-Mapping'!$J$2:$K$5,2,FALSE),"")</f>
        <v/>
      </c>
      <c r="AG23" s="146" t="str">
        <f>IF($P23="Short-Term",VLOOKUP(R23,'Look-Ups-Mapping'!$M$2:$N$8,2,FALSE),"")</f>
        <v/>
      </c>
      <c r="AH23" s="146" t="str">
        <f>IF($P23="Short-Term",VLOOKUP(S23,'Look-Ups-Mapping'!$P$2:$Q$8,2,FALSE),"")</f>
        <v/>
      </c>
      <c r="AI23" s="146" t="e" cm="1">
        <f t="array" ref="AI23">IF(AND(ISNA(AF23)=FALSE,ISNA(AG23)=FALSE,ISNA(AH23)=FALSE),SMALL(AF23:AH23,1),IF(AND(ISNA(AF23)=TRUE,ISNA(AG23)=FALSE,ISNA(AH23)=FALSE),SMALL(AG23:AH23,1),IF(AND(ISNA(AF23)=FALSE,ISNA(AG23)=TRUE,ISNA(AH23)=FALSE),MIN(AF23,AH23),IF(AND(ISNA(AF23)=FALSE,ISNA(AG23)=FALSE,ISNA(AH23)=TRUE),SMALL(AF23:AG23,1),IF(AND(ISNA(AF23)=TRUE,ISNA(AG23)=TRUE,ISNA(AH23)=FALSE),AH23,IF(AND(ISNA(AF23)=TRUE,ISNA(AG23)=FALSE,ISNA(AH23)=TRUE),AG23,IF(AND(ISNA(AF23)=FALSE,ISNA(AG23)=TRUE,ISNA(AH23)=TRUE),AF23,IF(AND(ISNA(AF23)=TRUE,ISNA(AG23)=TRUE,ISNA(AH23)=TRUE),N/A,N/A))))))))</f>
        <v>#NUM!</v>
      </c>
      <c r="AK23" s="147" t="e">
        <f>VLOOKUP(V23,'Look-Ups-Mapping'!$A$29:$B$33,2,FALSE)</f>
        <v>#N/A</v>
      </c>
      <c r="AN23" s="147" t="e">
        <f>VLOOKUP(T23,'Look-Ups-Mapping'!$F$34:$G$35,2,FALSE)</f>
        <v>#N/A</v>
      </c>
      <c r="AP23" s="147" t="e">
        <f>VLOOKUP(U23,'Look-Ups-Mapping'!$F$34:$G$35,2,FALSE)</f>
        <v>#N/A</v>
      </c>
    </row>
    <row r="24" spans="2:42" x14ac:dyDescent="0.25">
      <c r="B24" s="439"/>
      <c r="C24" s="131"/>
      <c r="D24" s="34"/>
      <c r="E24" s="230"/>
      <c r="F24" s="228"/>
      <c r="G24" s="41"/>
      <c r="H24" s="457"/>
      <c r="I24" s="463"/>
      <c r="J24" s="474" t="str">
        <f t="shared" ref="J24:J69" si="11">IF($E24="Mutual Funds Equities Domestic","",IF($E24="Mutual Funds Equities International","",IF($E24="Real Estate Investment Trusts","",IF($E24="Real Estate Investments","",IF($E24="Exchange Traded Funds-Equity","",IF($E24="Equity Securities-Domestic","",IF($E24="Equity Securities-International","",IF(I24="","N/A",(I24-$H$19)))))))))</f>
        <v>N/A</v>
      </c>
      <c r="K24" s="475" t="str">
        <f t="shared" si="6"/>
        <v/>
      </c>
      <c r="L24" s="41" t="str">
        <f t="shared" si="9"/>
        <v/>
      </c>
      <c r="M24" s="41" t="str">
        <f t="shared" si="7"/>
        <v/>
      </c>
      <c r="N24" s="41" t="str">
        <f t="shared" si="10"/>
        <v/>
      </c>
      <c r="O24" s="476" t="str">
        <f t="shared" si="8"/>
        <v/>
      </c>
      <c r="P24" s="388"/>
      <c r="Q24" s="389"/>
      <c r="R24" s="390"/>
      <c r="S24" s="391"/>
      <c r="T24" s="298"/>
      <c r="U24" s="292"/>
      <c r="V24" s="392"/>
      <c r="W24" s="296"/>
      <c r="Y24" s="146" t="str">
        <f>IF(P24="Long-Term",VLOOKUP(Q24,'Look-Ups-Mapping'!$A$2:$B$23,2,FALSE),IF('Investment Analysis'!P24="Short-Term",VLOOKUP('Investment Analysis'!Q24,'Look-Ups-Mapping'!$A$2:$B$23,2,FALSE),""))</f>
        <v/>
      </c>
      <c r="Z24" s="146" t="str">
        <f>IF(P24="Long-Term",VLOOKUP(R24,'Look-Ups-Mapping'!$D$2:$E$24,2,FALSE),IF('Investment Analysis'!P24="Short-Term",VLOOKUP('Investment Analysis'!R24,'Look-Ups-Mapping'!$D$2:$E$24,2,FALSE),""))</f>
        <v/>
      </c>
      <c r="AA24" s="146" t="str">
        <f>IF(P24="Long-Term",VLOOKUP(S24,'Look-Ups-Mapping'!$G$2:$H$22,2,FALSE),IF('Investment Analysis'!P24="Short-Term",VLOOKUP('Investment Analysis'!S24,'Look-Ups-Mapping'!$G$2:$H$22,2,FALSE),""))</f>
        <v/>
      </c>
      <c r="AB24" s="146" t="e" cm="1">
        <f t="array" ref="AB24">IF(AND(ISNA(Y24)=FALSE,ISNA(Z24)=FALSE,ISNA(AA24)=FALSE),SMALL(Y24:AA24,1),IF(AND(ISNA(Y24)=TRUE,ISNA(Z24)=FALSE,ISNA(AA24)=FALSE),SMALL(Z24:AA24,1),IF(AND(ISNA(Y24)=FALSE,ISNA(Z24)=TRUE,ISNA(AA24)=FALSE),MIN(Y24,AA24),IF(AND(ISNA(Y24)=FALSE,ISNA(Z24)=FALSE,ISNA(AA24)=TRUE),SMALL(Y24:Z24,1),IF(AND(ISNA(Y24)=TRUE,ISNA(Z24)=TRUE,ISNA(AA24)=FALSE),AA24,IF(AND(ISNA(Y24)=TRUE,ISNA(Z24)=FALSE,ISNA(AA24)=TRUE),Z24,IF(AND(ISNA(Y24)=FALSE,ISNA(Z24)=TRUE,ISNA(AA24)=TRUE),Y24,IF(AND(ISNA(Y24)=TRUE,ISNA(Z24)=TRUE,ISNA(AA24)=TRUE),N/A,N/A))))))))</f>
        <v>#NUM!</v>
      </c>
      <c r="AF24" s="146" t="str">
        <f>IF($P24="Short-Term",VLOOKUP(Q24,'Look-Ups-Mapping'!$J$2:$K$5,2,FALSE),"")</f>
        <v/>
      </c>
      <c r="AG24" s="146" t="str">
        <f>IF($P24="Short-Term",VLOOKUP(R24,'Look-Ups-Mapping'!$M$2:$N$8,2,FALSE),"")</f>
        <v/>
      </c>
      <c r="AH24" s="146" t="str">
        <f>IF($P24="Short-Term",VLOOKUP(S24,'Look-Ups-Mapping'!$P$2:$Q$8,2,FALSE),"")</f>
        <v/>
      </c>
      <c r="AI24" s="146" t="e" cm="1">
        <f t="array" ref="AI24">IF(AND(ISNA(AF24)=FALSE,ISNA(AG24)=FALSE,ISNA(AH24)=FALSE),SMALL(AF24:AH24,1),IF(AND(ISNA(AF24)=TRUE,ISNA(AG24)=FALSE,ISNA(AH24)=FALSE),SMALL(AG24:AH24,1),IF(AND(ISNA(AF24)=FALSE,ISNA(AG24)=TRUE,ISNA(AH24)=FALSE),MIN(AF24,AH24),IF(AND(ISNA(AF24)=FALSE,ISNA(AG24)=FALSE,ISNA(AH24)=TRUE),SMALL(AF24:AG24,1),IF(AND(ISNA(AF24)=TRUE,ISNA(AG24)=TRUE,ISNA(AH24)=FALSE),AH24,IF(AND(ISNA(AF24)=TRUE,ISNA(AG24)=FALSE,ISNA(AH24)=TRUE),AG24,IF(AND(ISNA(AF24)=FALSE,ISNA(AG24)=TRUE,ISNA(AH24)=TRUE),AF24,IF(AND(ISNA(AF24)=TRUE,ISNA(AG24)=TRUE,ISNA(AH24)=TRUE),N/A,N/A))))))))</f>
        <v>#NUM!</v>
      </c>
      <c r="AK24" s="147" t="e">
        <f>VLOOKUP(V24,'Look-Ups-Mapping'!$A$29:$B$33,2,FALSE)</f>
        <v>#N/A</v>
      </c>
      <c r="AN24" s="147" t="e">
        <f>VLOOKUP(T24,'Look-Ups-Mapping'!$F$34:$G$35,2,FALSE)</f>
        <v>#N/A</v>
      </c>
      <c r="AP24" s="147" t="e">
        <f>VLOOKUP(U24,'Look-Ups-Mapping'!$F$34:$G$35,2,FALSE)</f>
        <v>#N/A</v>
      </c>
    </row>
    <row r="25" spans="2:42" x14ac:dyDescent="0.25">
      <c r="B25" s="439"/>
      <c r="C25" s="131"/>
      <c r="D25" s="34"/>
      <c r="E25" s="230"/>
      <c r="F25" s="228"/>
      <c r="G25" s="41"/>
      <c r="H25" s="457"/>
      <c r="I25" s="463"/>
      <c r="J25" s="474" t="str">
        <f t="shared" si="11"/>
        <v>N/A</v>
      </c>
      <c r="K25" s="475" t="str">
        <f t="shared" si="6"/>
        <v/>
      </c>
      <c r="L25" s="41" t="str">
        <f t="shared" si="9"/>
        <v/>
      </c>
      <c r="M25" s="41" t="str">
        <f t="shared" si="7"/>
        <v/>
      </c>
      <c r="N25" s="41" t="str">
        <f t="shared" si="10"/>
        <v/>
      </c>
      <c r="O25" s="476" t="str">
        <f t="shared" si="8"/>
        <v/>
      </c>
      <c r="P25" s="388"/>
      <c r="Q25" s="389"/>
      <c r="R25" s="390"/>
      <c r="S25" s="391"/>
      <c r="T25" s="298"/>
      <c r="U25" s="292"/>
      <c r="V25" s="392"/>
      <c r="W25" s="296"/>
      <c r="Y25" s="146" t="str">
        <f>IF(P25="Long-Term",VLOOKUP(Q25,'Look-Ups-Mapping'!$A$2:$B$23,2,FALSE),IF('Investment Analysis'!P25="Short-Term",VLOOKUP('Investment Analysis'!Q25,'Look-Ups-Mapping'!$A$2:$B$23,2,FALSE),""))</f>
        <v/>
      </c>
      <c r="Z25" s="146" t="str">
        <f>IF(P25="Long-Term",VLOOKUP(R25,'Look-Ups-Mapping'!$D$2:$E$24,2,FALSE),IF('Investment Analysis'!P25="Short-Term",VLOOKUP('Investment Analysis'!R25,'Look-Ups-Mapping'!$D$2:$E$24,2,FALSE),""))</f>
        <v/>
      </c>
      <c r="AA25" s="146" t="str">
        <f>IF(P25="Long-Term",VLOOKUP(S25,'Look-Ups-Mapping'!$G$2:$H$22,2,FALSE),IF('Investment Analysis'!P25="Short-Term",VLOOKUP('Investment Analysis'!S25,'Look-Ups-Mapping'!$G$2:$H$22,2,FALSE),""))</f>
        <v/>
      </c>
      <c r="AB25" s="146" t="e" cm="1">
        <f t="array" ref="AB25">IF(AND(ISNA(Y25)=FALSE,ISNA(Z25)=FALSE,ISNA(AA25)=FALSE),SMALL(Y25:AA25,1),IF(AND(ISNA(Y25)=TRUE,ISNA(Z25)=FALSE,ISNA(AA25)=FALSE),SMALL(Z25:AA25,1),IF(AND(ISNA(Y25)=FALSE,ISNA(Z25)=TRUE,ISNA(AA25)=FALSE),MIN(Y25,AA25),IF(AND(ISNA(Y25)=FALSE,ISNA(Z25)=FALSE,ISNA(AA25)=TRUE),SMALL(Y25:Z25,1),IF(AND(ISNA(Y25)=TRUE,ISNA(Z25)=TRUE,ISNA(AA25)=FALSE),AA25,IF(AND(ISNA(Y25)=TRUE,ISNA(Z25)=FALSE,ISNA(AA25)=TRUE),Z25,IF(AND(ISNA(Y25)=FALSE,ISNA(Z25)=TRUE,ISNA(AA25)=TRUE),Y25,IF(AND(ISNA(Y25)=TRUE,ISNA(Z25)=TRUE,ISNA(AA25)=TRUE),N/A,N/A))))))))</f>
        <v>#NUM!</v>
      </c>
      <c r="AF25" s="146" t="str">
        <f>IF($P25="Short-Term",VLOOKUP(Q25,'Look-Ups-Mapping'!$J$2:$K$5,2,FALSE),"")</f>
        <v/>
      </c>
      <c r="AG25" s="146" t="str">
        <f>IF($P25="Short-Term",VLOOKUP(R25,'Look-Ups-Mapping'!$M$2:$N$8,2,FALSE),"")</f>
        <v/>
      </c>
      <c r="AH25" s="146" t="str">
        <f>IF($P25="Short-Term",VLOOKUP(S25,'Look-Ups-Mapping'!$P$2:$Q$8,2,FALSE),"")</f>
        <v/>
      </c>
      <c r="AI25" s="146" t="e" cm="1">
        <f t="array" ref="AI25">IF(AND(ISNA(AF25)=FALSE,ISNA(AG25)=FALSE,ISNA(AH25)=FALSE),SMALL(AF25:AH25,1),IF(AND(ISNA(AF25)=TRUE,ISNA(AG25)=FALSE,ISNA(AH25)=FALSE),SMALL(AG25:AH25,1),IF(AND(ISNA(AF25)=FALSE,ISNA(AG25)=TRUE,ISNA(AH25)=FALSE),MIN(AF25,AH25),IF(AND(ISNA(AF25)=FALSE,ISNA(AG25)=FALSE,ISNA(AH25)=TRUE),SMALL(AF25:AG25,1),IF(AND(ISNA(AF25)=TRUE,ISNA(AG25)=TRUE,ISNA(AH25)=FALSE),AH25,IF(AND(ISNA(AF25)=TRUE,ISNA(AG25)=FALSE,ISNA(AH25)=TRUE),AG25,IF(AND(ISNA(AF25)=FALSE,ISNA(AG25)=TRUE,ISNA(AH25)=TRUE),AF25,IF(AND(ISNA(AF25)=TRUE,ISNA(AG25)=TRUE,ISNA(AH25)=TRUE),N/A,N/A))))))))</f>
        <v>#NUM!</v>
      </c>
      <c r="AK25" s="147" t="e">
        <f>VLOOKUP(V25,'Look-Ups-Mapping'!$A$29:$B$33,2,FALSE)</f>
        <v>#N/A</v>
      </c>
      <c r="AN25" s="147" t="e">
        <f>VLOOKUP(T25,'Look-Ups-Mapping'!$F$34:$G$35,2,FALSE)</f>
        <v>#N/A</v>
      </c>
      <c r="AP25" s="147" t="e">
        <f>VLOOKUP(U25,'Look-Ups-Mapping'!$F$34:$G$35,2,FALSE)</f>
        <v>#N/A</v>
      </c>
    </row>
    <row r="26" spans="2:42" x14ac:dyDescent="0.25">
      <c r="B26" s="439"/>
      <c r="C26" s="131"/>
      <c r="D26" s="34"/>
      <c r="E26" s="230"/>
      <c r="F26" s="228"/>
      <c r="G26" s="41"/>
      <c r="H26" s="457"/>
      <c r="I26" s="463"/>
      <c r="J26" s="474" t="str">
        <f t="shared" si="11"/>
        <v>N/A</v>
      </c>
      <c r="K26" s="475" t="str">
        <f t="shared" si="6"/>
        <v/>
      </c>
      <c r="L26" s="41" t="str">
        <f t="shared" si="9"/>
        <v/>
      </c>
      <c r="M26" s="41" t="str">
        <f t="shared" si="7"/>
        <v/>
      </c>
      <c r="N26" s="41" t="str">
        <f t="shared" si="10"/>
        <v/>
      </c>
      <c r="O26" s="476" t="str">
        <f t="shared" si="8"/>
        <v/>
      </c>
      <c r="P26" s="388"/>
      <c r="Q26" s="389"/>
      <c r="R26" s="390"/>
      <c r="S26" s="391"/>
      <c r="T26" s="298"/>
      <c r="U26" s="292"/>
      <c r="V26" s="392"/>
      <c r="W26" s="296"/>
      <c r="Y26" s="146" t="str">
        <f>IF(P26="Long-Term",VLOOKUP(Q26,'Look-Ups-Mapping'!$A$2:$B$23,2,FALSE),IF('Investment Analysis'!P26="Short-Term",VLOOKUP('Investment Analysis'!Q26,'Look-Ups-Mapping'!$A$2:$B$23,2,FALSE),""))</f>
        <v/>
      </c>
      <c r="Z26" s="146" t="str">
        <f>IF(P26="Long-Term",VLOOKUP(R26,'Look-Ups-Mapping'!$D$2:$E$24,2,FALSE),IF('Investment Analysis'!P26="Short-Term",VLOOKUP('Investment Analysis'!R26,'Look-Ups-Mapping'!$D$2:$E$24,2,FALSE),""))</f>
        <v/>
      </c>
      <c r="AA26" s="146" t="str">
        <f>IF(P26="Long-Term",VLOOKUP(S26,'Look-Ups-Mapping'!$G$2:$H$22,2,FALSE),IF('Investment Analysis'!P26="Short-Term",VLOOKUP('Investment Analysis'!S26,'Look-Ups-Mapping'!$G$2:$H$22,2,FALSE),""))</f>
        <v/>
      </c>
      <c r="AB26" s="146" t="e" cm="1">
        <f t="array" ref="AB26">IF(AND(ISNA(Y26)=FALSE,ISNA(Z26)=FALSE,ISNA(AA26)=FALSE),SMALL(Y26:AA26,1),IF(AND(ISNA(Y26)=TRUE,ISNA(Z26)=FALSE,ISNA(AA26)=FALSE),SMALL(Z26:AA26,1),IF(AND(ISNA(Y26)=FALSE,ISNA(Z26)=TRUE,ISNA(AA26)=FALSE),MIN(Y26,AA26),IF(AND(ISNA(Y26)=FALSE,ISNA(Z26)=FALSE,ISNA(AA26)=TRUE),SMALL(Y26:Z26,1),IF(AND(ISNA(Y26)=TRUE,ISNA(Z26)=TRUE,ISNA(AA26)=FALSE),AA26,IF(AND(ISNA(Y26)=TRUE,ISNA(Z26)=FALSE,ISNA(AA26)=TRUE),Z26,IF(AND(ISNA(Y26)=FALSE,ISNA(Z26)=TRUE,ISNA(AA26)=TRUE),Y26,IF(AND(ISNA(Y26)=TRUE,ISNA(Z26)=TRUE,ISNA(AA26)=TRUE),N/A,N/A))))))))</f>
        <v>#NUM!</v>
      </c>
      <c r="AF26" s="146" t="str">
        <f>IF($P26="Short-Term",VLOOKUP(Q26,'Look-Ups-Mapping'!$J$2:$K$5,2,FALSE),"")</f>
        <v/>
      </c>
      <c r="AG26" s="146" t="str">
        <f>IF($P26="Short-Term",VLOOKUP(R26,'Look-Ups-Mapping'!$M$2:$N$8,2,FALSE),"")</f>
        <v/>
      </c>
      <c r="AH26" s="146" t="str">
        <f>IF($P26="Short-Term",VLOOKUP(S26,'Look-Ups-Mapping'!$P$2:$Q$8,2,FALSE),"")</f>
        <v/>
      </c>
      <c r="AI26" s="146" t="e" cm="1">
        <f t="array" ref="AI26">IF(AND(ISNA(AF26)=FALSE,ISNA(AG26)=FALSE,ISNA(AH26)=FALSE),SMALL(AF26:AH26,1),IF(AND(ISNA(AF26)=TRUE,ISNA(AG26)=FALSE,ISNA(AH26)=FALSE),SMALL(AG26:AH26,1),IF(AND(ISNA(AF26)=FALSE,ISNA(AG26)=TRUE,ISNA(AH26)=FALSE),MIN(AF26,AH26),IF(AND(ISNA(AF26)=FALSE,ISNA(AG26)=FALSE,ISNA(AH26)=TRUE),SMALL(AF26:AG26,1),IF(AND(ISNA(AF26)=TRUE,ISNA(AG26)=TRUE,ISNA(AH26)=FALSE),AH26,IF(AND(ISNA(AF26)=TRUE,ISNA(AG26)=FALSE,ISNA(AH26)=TRUE),AG26,IF(AND(ISNA(AF26)=FALSE,ISNA(AG26)=TRUE,ISNA(AH26)=TRUE),AF26,IF(AND(ISNA(AF26)=TRUE,ISNA(AG26)=TRUE,ISNA(AH26)=TRUE),N/A,N/A))))))))</f>
        <v>#NUM!</v>
      </c>
      <c r="AK26" s="147" t="e">
        <f>VLOOKUP(V26,'Look-Ups-Mapping'!$A$29:$B$33,2,FALSE)</f>
        <v>#N/A</v>
      </c>
      <c r="AN26" s="147" t="e">
        <f>VLOOKUP(T26,'Look-Ups-Mapping'!$F$34:$G$35,2,FALSE)</f>
        <v>#N/A</v>
      </c>
      <c r="AP26" s="147" t="e">
        <f>VLOOKUP(U26,'Look-Ups-Mapping'!$F$34:$G$35,2,FALSE)</f>
        <v>#N/A</v>
      </c>
    </row>
    <row r="27" spans="2:42" x14ac:dyDescent="0.25">
      <c r="B27" s="439"/>
      <c r="C27" s="131"/>
      <c r="D27" s="34"/>
      <c r="E27" s="230"/>
      <c r="F27" s="228"/>
      <c r="G27" s="41"/>
      <c r="H27" s="457"/>
      <c r="I27" s="463"/>
      <c r="J27" s="474" t="str">
        <f t="shared" si="11"/>
        <v>N/A</v>
      </c>
      <c r="K27" s="475" t="str">
        <f t="shared" si="6"/>
        <v/>
      </c>
      <c r="L27" s="41" t="str">
        <f>IF($E27="Mutual Funds Equities Domestic","",IF($E27="Mutual Funds Equities International","",IF($E27="Real Estate Investment Trusts","",IF($E27="Real Estate Investments","",IF($E27="Exchange Traded Funds-Equity","",IF($E27="Equity Securities-Domestic","",IF($E27="Equity Securities-International","",IF(AND($J27&gt;90,$J27&lt;366),$H27,""))))))))</f>
        <v/>
      </c>
      <c r="M27" s="41" t="str">
        <f t="shared" si="7"/>
        <v/>
      </c>
      <c r="N27" s="41" t="str">
        <f>IF($E27="Mutual Funds Equities Domestic","",IF($E27="Mutual Funds Equities International","",IF($E27="Real Estate Investment Trusts","",IF($E27="Real Estate Investments","",IF($E27="Exchange Traded Funds-Equity","",IF($E27="Equity Securities-Domestic","",IF($E27="Equity Securities-International","",IF(AND($J27&gt;1825,$J27&lt;3651),H27,""))))))))</f>
        <v/>
      </c>
      <c r="O27" s="476" t="str">
        <f t="shared" si="8"/>
        <v/>
      </c>
      <c r="P27" s="388"/>
      <c r="Q27" s="389"/>
      <c r="R27" s="390"/>
      <c r="S27" s="391"/>
      <c r="T27" s="298"/>
      <c r="U27" s="292"/>
      <c r="V27" s="392"/>
      <c r="W27" s="296"/>
      <c r="Y27" s="146" t="str">
        <f>IF(P27="Long-Term",VLOOKUP(Q27,'Look-Ups-Mapping'!$A$2:$B$23,2,FALSE),IF('Investment Analysis'!P27="Short-Term",VLOOKUP('Investment Analysis'!Q27,'Look-Ups-Mapping'!$A$2:$B$23,2,FALSE),""))</f>
        <v/>
      </c>
      <c r="Z27" s="146" t="str">
        <f>IF(P27="Long-Term",VLOOKUP(R27,'Look-Ups-Mapping'!$D$2:$E$24,2,FALSE),IF('Investment Analysis'!P27="Short-Term",VLOOKUP('Investment Analysis'!R27,'Look-Ups-Mapping'!$D$2:$E$24,2,FALSE),""))</f>
        <v/>
      </c>
      <c r="AA27" s="146" t="str">
        <f>IF(P27="Long-Term",VLOOKUP(S27,'Look-Ups-Mapping'!$G$2:$H$22,2,FALSE),IF('Investment Analysis'!P27="Short-Term",VLOOKUP('Investment Analysis'!S27,'Look-Ups-Mapping'!$G$2:$H$22,2,FALSE),""))</f>
        <v/>
      </c>
      <c r="AB27" s="146" t="e" cm="1">
        <f t="array" ref="AB27">IF(AND(ISNA(Y27)=FALSE,ISNA(Z27)=FALSE,ISNA(AA27)=FALSE),SMALL(Y27:AA27,1),IF(AND(ISNA(Y27)=TRUE,ISNA(Z27)=FALSE,ISNA(AA27)=FALSE),SMALL(Z27:AA27,1),IF(AND(ISNA(Y27)=FALSE,ISNA(Z27)=TRUE,ISNA(AA27)=FALSE),MIN(Y27,AA27),IF(AND(ISNA(Y27)=FALSE,ISNA(Z27)=FALSE,ISNA(AA27)=TRUE),SMALL(Y27:Z27,1),IF(AND(ISNA(Y27)=TRUE,ISNA(Z27)=TRUE,ISNA(AA27)=FALSE),AA27,IF(AND(ISNA(Y27)=TRUE,ISNA(Z27)=FALSE,ISNA(AA27)=TRUE),Z27,IF(AND(ISNA(Y27)=FALSE,ISNA(Z27)=TRUE,ISNA(AA27)=TRUE),Y27,IF(AND(ISNA(Y27)=TRUE,ISNA(Z27)=TRUE,ISNA(AA27)=TRUE),N/A,N/A))))))))</f>
        <v>#NUM!</v>
      </c>
      <c r="AF27" s="146" t="str">
        <f>IF($P27="Short-Term",VLOOKUP(Q27,'Look-Ups-Mapping'!$J$2:$K$5,2,FALSE),"")</f>
        <v/>
      </c>
      <c r="AG27" s="146" t="str">
        <f>IF($P27="Short-Term",VLOOKUP(R27,'Look-Ups-Mapping'!$M$2:$N$8,2,FALSE),"")</f>
        <v/>
      </c>
      <c r="AH27" s="146" t="str">
        <f>IF($P27="Short-Term",VLOOKUP(S27,'Look-Ups-Mapping'!$P$2:$Q$8,2,FALSE),"")</f>
        <v/>
      </c>
      <c r="AI27" s="146" t="e" cm="1">
        <f t="array" ref="AI27">IF(AND(ISNA(AF27)=FALSE,ISNA(AG27)=FALSE,ISNA(AH27)=FALSE),SMALL(AF27:AH27,1),IF(AND(ISNA(AF27)=TRUE,ISNA(AG27)=FALSE,ISNA(AH27)=FALSE),SMALL(AG27:AH27,1),IF(AND(ISNA(AF27)=FALSE,ISNA(AG27)=TRUE,ISNA(AH27)=FALSE),MIN(AF27,AH27),IF(AND(ISNA(AF27)=FALSE,ISNA(AG27)=FALSE,ISNA(AH27)=TRUE),SMALL(AF27:AG27,1),IF(AND(ISNA(AF27)=TRUE,ISNA(AG27)=TRUE,ISNA(AH27)=FALSE),AH27,IF(AND(ISNA(AF27)=TRUE,ISNA(AG27)=FALSE,ISNA(AH27)=TRUE),AG27,IF(AND(ISNA(AF27)=FALSE,ISNA(AG27)=TRUE,ISNA(AH27)=TRUE),AF27,IF(AND(ISNA(AF27)=TRUE,ISNA(AG27)=TRUE,ISNA(AH27)=TRUE),N/A,N/A))))))))</f>
        <v>#NUM!</v>
      </c>
      <c r="AK27" s="147" t="e">
        <f>VLOOKUP(V27,'Look-Ups-Mapping'!$A$29:$B$33,2,FALSE)</f>
        <v>#N/A</v>
      </c>
      <c r="AN27" s="147" t="e">
        <f>VLOOKUP(T27,'Look-Ups-Mapping'!$F$34:$G$35,2,FALSE)</f>
        <v>#N/A</v>
      </c>
      <c r="AP27" s="147" t="e">
        <f>VLOOKUP(U27,'Look-Ups-Mapping'!$F$34:$G$35,2,FALSE)</f>
        <v>#N/A</v>
      </c>
    </row>
    <row r="28" spans="2:42" x14ac:dyDescent="0.25">
      <c r="B28" s="439"/>
      <c r="C28" s="131"/>
      <c r="D28" s="34"/>
      <c r="E28" s="230"/>
      <c r="F28" s="228"/>
      <c r="G28" s="41"/>
      <c r="H28" s="457"/>
      <c r="I28" s="463"/>
      <c r="J28" s="474" t="str">
        <f>IF($E28="Mutual Funds Equities Domestic","",IF($E28="Mutual Funds Equities International","",IF($E28="Real Estate Investment Trusts","",IF($E28="Real Estate Investments","",IF($E28="Exchange Traded Funds-Equity","",IF($E28="Equity Securities-Domestic","",IF($E28="Equity Securities-International","",IF(I28="","N/A",(I28-$H$19)))))))))</f>
        <v>N/A</v>
      </c>
      <c r="K28" s="475" t="str">
        <f t="shared" si="6"/>
        <v/>
      </c>
      <c r="L28" s="41" t="str">
        <f t="shared" si="9"/>
        <v/>
      </c>
      <c r="M28" s="41" t="str">
        <f t="shared" si="7"/>
        <v/>
      </c>
      <c r="N28" s="41" t="str">
        <f t="shared" si="10"/>
        <v/>
      </c>
      <c r="O28" s="476" t="str">
        <f t="shared" si="8"/>
        <v/>
      </c>
      <c r="P28" s="388"/>
      <c r="Q28" s="389"/>
      <c r="R28" s="390"/>
      <c r="S28" s="391"/>
      <c r="T28" s="298"/>
      <c r="U28" s="292"/>
      <c r="V28" s="392"/>
      <c r="W28" s="296"/>
      <c r="Y28" s="146" t="str">
        <f>IF(P28="Long-Term",VLOOKUP(Q28,'Look-Ups-Mapping'!$A$2:$B$23,2,FALSE),IF('Investment Analysis'!P28="Short-Term",VLOOKUP('Investment Analysis'!Q28,'Look-Ups-Mapping'!$A$2:$B$23,2,FALSE),""))</f>
        <v/>
      </c>
      <c r="Z28" s="146" t="str">
        <f>IF(P28="Long-Term",VLOOKUP(R28,'Look-Ups-Mapping'!$D$2:$E$24,2,FALSE),IF('Investment Analysis'!P28="Short-Term",VLOOKUP('Investment Analysis'!R28,'Look-Ups-Mapping'!$D$2:$E$24,2,FALSE),""))</f>
        <v/>
      </c>
      <c r="AA28" s="146" t="str">
        <f>IF(P28="Long-Term",VLOOKUP(S28,'Look-Ups-Mapping'!$G$2:$H$22,2,FALSE),IF('Investment Analysis'!P28="Short-Term",VLOOKUP('Investment Analysis'!S28,'Look-Ups-Mapping'!$G$2:$H$22,2,FALSE),""))</f>
        <v/>
      </c>
      <c r="AB28" s="146" t="e" cm="1">
        <f t="array" ref="AB28">IF(AND(ISNA(Y28)=FALSE,ISNA(Z28)=FALSE,ISNA(AA28)=FALSE),SMALL(Y28:AA28,1),IF(AND(ISNA(Y28)=TRUE,ISNA(Z28)=FALSE,ISNA(AA28)=FALSE),SMALL(Z28:AA28,1),IF(AND(ISNA(Y28)=FALSE,ISNA(Z28)=TRUE,ISNA(AA28)=FALSE),MIN(Y28,AA28),IF(AND(ISNA(Y28)=FALSE,ISNA(Z28)=FALSE,ISNA(AA28)=TRUE),SMALL(Y28:Z28,1),IF(AND(ISNA(Y28)=TRUE,ISNA(Z28)=TRUE,ISNA(AA28)=FALSE),AA28,IF(AND(ISNA(Y28)=TRUE,ISNA(Z28)=FALSE,ISNA(AA28)=TRUE),Z28,IF(AND(ISNA(Y28)=FALSE,ISNA(Z28)=TRUE,ISNA(AA28)=TRUE),Y28,IF(AND(ISNA(Y28)=TRUE,ISNA(Z28)=TRUE,ISNA(AA28)=TRUE),N/A,N/A))))))))</f>
        <v>#NUM!</v>
      </c>
      <c r="AF28" s="146" t="str">
        <f>IF($P28="Short-Term",VLOOKUP(Q28,'Look-Ups-Mapping'!$J$2:$K$5,2,FALSE),"")</f>
        <v/>
      </c>
      <c r="AG28" s="146" t="str">
        <f>IF($P28="Short-Term",VLOOKUP(R28,'Look-Ups-Mapping'!$M$2:$N$8,2,FALSE),"")</f>
        <v/>
      </c>
      <c r="AH28" s="146" t="str">
        <f>IF($P28="Short-Term",VLOOKUP(S28,'Look-Ups-Mapping'!$P$2:$Q$8,2,FALSE),"")</f>
        <v/>
      </c>
      <c r="AI28" s="146" t="e" cm="1">
        <f t="array" ref="AI28">IF(AND(ISNA(AF28)=FALSE,ISNA(AG28)=FALSE,ISNA(AH28)=FALSE),SMALL(AF28:AH28,1),IF(AND(ISNA(AF28)=TRUE,ISNA(AG28)=FALSE,ISNA(AH28)=FALSE),SMALL(AG28:AH28,1),IF(AND(ISNA(AF28)=FALSE,ISNA(AG28)=TRUE,ISNA(AH28)=FALSE),MIN(AF28,AH28),IF(AND(ISNA(AF28)=FALSE,ISNA(AG28)=FALSE,ISNA(AH28)=TRUE),SMALL(AF28:AG28,1),IF(AND(ISNA(AF28)=TRUE,ISNA(AG28)=TRUE,ISNA(AH28)=FALSE),AH28,IF(AND(ISNA(AF28)=TRUE,ISNA(AG28)=FALSE,ISNA(AH28)=TRUE),AG28,IF(AND(ISNA(AF28)=FALSE,ISNA(AG28)=TRUE,ISNA(AH28)=TRUE),AF28,IF(AND(ISNA(AF28)=TRUE,ISNA(AG28)=TRUE,ISNA(AH28)=TRUE),N/A,N/A))))))))</f>
        <v>#NUM!</v>
      </c>
      <c r="AK28" s="147" t="e">
        <f>VLOOKUP(V28,'Look-Ups-Mapping'!$A$29:$B$33,2,FALSE)</f>
        <v>#N/A</v>
      </c>
      <c r="AN28" s="147" t="e">
        <f>VLOOKUP(T28,'Look-Ups-Mapping'!$F$34:$G$35,2,FALSE)</f>
        <v>#N/A</v>
      </c>
      <c r="AP28" s="147" t="e">
        <f>VLOOKUP(U28,'Look-Ups-Mapping'!$F$34:$G$35,2,FALSE)</f>
        <v>#N/A</v>
      </c>
    </row>
    <row r="29" spans="2:42" x14ac:dyDescent="0.25">
      <c r="B29" s="439"/>
      <c r="C29" s="131"/>
      <c r="D29" s="34"/>
      <c r="E29" s="230"/>
      <c r="F29" s="228"/>
      <c r="G29" s="41"/>
      <c r="H29" s="457"/>
      <c r="I29" s="463"/>
      <c r="J29" s="474" t="str">
        <f t="shared" si="11"/>
        <v>N/A</v>
      </c>
      <c r="K29" s="475" t="str">
        <f t="shared" si="6"/>
        <v/>
      </c>
      <c r="L29" s="41" t="str">
        <f t="shared" si="9"/>
        <v/>
      </c>
      <c r="M29" s="41" t="str">
        <f t="shared" si="7"/>
        <v/>
      </c>
      <c r="N29" s="41" t="str">
        <f t="shared" si="10"/>
        <v/>
      </c>
      <c r="O29" s="476" t="str">
        <f t="shared" si="8"/>
        <v/>
      </c>
      <c r="P29" s="388"/>
      <c r="Q29" s="389"/>
      <c r="R29" s="390"/>
      <c r="S29" s="391"/>
      <c r="T29" s="298"/>
      <c r="U29" s="292"/>
      <c r="V29" s="392"/>
      <c r="W29" s="296"/>
      <c r="Y29" s="146" t="str">
        <f>IF(P29="Long-Term",VLOOKUP(Q29,'Look-Ups-Mapping'!$A$2:$B$23,2,FALSE),IF('Investment Analysis'!P29="Short-Term",VLOOKUP('Investment Analysis'!Q29,'Look-Ups-Mapping'!$A$2:$B$23,2,FALSE),""))</f>
        <v/>
      </c>
      <c r="Z29" s="146" t="str">
        <f>IF(P29="Long-Term",VLOOKUP(R29,'Look-Ups-Mapping'!$D$2:$E$24,2,FALSE),IF('Investment Analysis'!P29="Short-Term",VLOOKUP('Investment Analysis'!R29,'Look-Ups-Mapping'!$D$2:$E$24,2,FALSE),""))</f>
        <v/>
      </c>
      <c r="AA29" s="146" t="str">
        <f>IF(P29="Long-Term",VLOOKUP(S29,'Look-Ups-Mapping'!$G$2:$H$22,2,FALSE),IF('Investment Analysis'!P29="Short-Term",VLOOKUP('Investment Analysis'!S29,'Look-Ups-Mapping'!$G$2:$H$22,2,FALSE),""))</f>
        <v/>
      </c>
      <c r="AB29" s="146" t="e" cm="1">
        <f t="array" ref="AB29">IF(AND(ISNA(Y29)=FALSE,ISNA(Z29)=FALSE,ISNA(AA29)=FALSE),SMALL(Y29:AA29,1),IF(AND(ISNA(Y29)=TRUE,ISNA(Z29)=FALSE,ISNA(AA29)=FALSE),SMALL(Z29:AA29,1),IF(AND(ISNA(Y29)=FALSE,ISNA(Z29)=TRUE,ISNA(AA29)=FALSE),MIN(Y29,AA29),IF(AND(ISNA(Y29)=FALSE,ISNA(Z29)=FALSE,ISNA(AA29)=TRUE),SMALL(Y29:Z29,1),IF(AND(ISNA(Y29)=TRUE,ISNA(Z29)=TRUE,ISNA(AA29)=FALSE),AA29,IF(AND(ISNA(Y29)=TRUE,ISNA(Z29)=FALSE,ISNA(AA29)=TRUE),Z29,IF(AND(ISNA(Y29)=FALSE,ISNA(Z29)=TRUE,ISNA(AA29)=TRUE),Y29,IF(AND(ISNA(Y29)=TRUE,ISNA(Z29)=TRUE,ISNA(AA29)=TRUE),N/A,N/A))))))))</f>
        <v>#NUM!</v>
      </c>
      <c r="AF29" s="146" t="str">
        <f>IF($P29="Short-Term",VLOOKUP(Q29,'Look-Ups-Mapping'!$J$2:$K$5,2,FALSE),"")</f>
        <v/>
      </c>
      <c r="AG29" s="146" t="str">
        <f>IF($P29="Short-Term",VLOOKUP(R29,'Look-Ups-Mapping'!$M$2:$N$8,2,FALSE),"")</f>
        <v/>
      </c>
      <c r="AH29" s="146" t="str">
        <f>IF($P29="Short-Term",VLOOKUP(S29,'Look-Ups-Mapping'!$P$2:$Q$8,2,FALSE),"")</f>
        <v/>
      </c>
      <c r="AI29" s="146" t="e" cm="1">
        <f t="array" ref="AI29">IF(AND(ISNA(AF29)=FALSE,ISNA(AG29)=FALSE,ISNA(AH29)=FALSE),SMALL(AF29:AH29,1),IF(AND(ISNA(AF29)=TRUE,ISNA(AG29)=FALSE,ISNA(AH29)=FALSE),SMALL(AG29:AH29,1),IF(AND(ISNA(AF29)=FALSE,ISNA(AG29)=TRUE,ISNA(AH29)=FALSE),MIN(AF29,AH29),IF(AND(ISNA(AF29)=FALSE,ISNA(AG29)=FALSE,ISNA(AH29)=TRUE),SMALL(AF29:AG29,1),IF(AND(ISNA(AF29)=TRUE,ISNA(AG29)=TRUE,ISNA(AH29)=FALSE),AH29,IF(AND(ISNA(AF29)=TRUE,ISNA(AG29)=FALSE,ISNA(AH29)=TRUE),AG29,IF(AND(ISNA(AF29)=FALSE,ISNA(AG29)=TRUE,ISNA(AH29)=TRUE),AF29,IF(AND(ISNA(AF29)=TRUE,ISNA(AG29)=TRUE,ISNA(AH29)=TRUE),N/A,N/A))))))))</f>
        <v>#NUM!</v>
      </c>
      <c r="AK29" s="147" t="e">
        <f>VLOOKUP(V29,'Look-Ups-Mapping'!$A$29:$B$33,2,FALSE)</f>
        <v>#N/A</v>
      </c>
      <c r="AN29" s="147" t="e">
        <f>VLOOKUP(T29,'Look-Ups-Mapping'!$F$34:$G$35,2,FALSE)</f>
        <v>#N/A</v>
      </c>
      <c r="AP29" s="147" t="e">
        <f>VLOOKUP(U29,'Look-Ups-Mapping'!$F$34:$G$35,2,FALSE)</f>
        <v>#N/A</v>
      </c>
    </row>
    <row r="30" spans="2:42" x14ac:dyDescent="0.25">
      <c r="B30" s="439"/>
      <c r="C30" s="131"/>
      <c r="D30" s="34"/>
      <c r="E30" s="230"/>
      <c r="F30" s="228"/>
      <c r="G30" s="41"/>
      <c r="H30" s="457"/>
      <c r="I30" s="463"/>
      <c r="J30" s="474" t="str">
        <f t="shared" si="11"/>
        <v>N/A</v>
      </c>
      <c r="K30" s="475" t="str">
        <f t="shared" si="6"/>
        <v/>
      </c>
      <c r="L30" s="41" t="str">
        <f t="shared" si="9"/>
        <v/>
      </c>
      <c r="M30" s="41" t="str">
        <f t="shared" si="7"/>
        <v/>
      </c>
      <c r="N30" s="41" t="str">
        <f t="shared" si="10"/>
        <v/>
      </c>
      <c r="O30" s="476" t="str">
        <f t="shared" si="8"/>
        <v/>
      </c>
      <c r="P30" s="388"/>
      <c r="Q30" s="389"/>
      <c r="R30" s="390"/>
      <c r="S30" s="391"/>
      <c r="T30" s="298"/>
      <c r="U30" s="292"/>
      <c r="V30" s="392"/>
      <c r="W30" s="296"/>
      <c r="Y30" s="146" t="str">
        <f>IF(P30="Long-Term",VLOOKUP(Q30,'Look-Ups-Mapping'!$A$2:$B$23,2,FALSE),IF('Investment Analysis'!P30="Short-Term",VLOOKUP('Investment Analysis'!Q30,'Look-Ups-Mapping'!$A$2:$B$23,2,FALSE),""))</f>
        <v/>
      </c>
      <c r="Z30" s="146" t="str">
        <f>IF(P30="Long-Term",VLOOKUP(R30,'Look-Ups-Mapping'!$D$2:$E$24,2,FALSE),IF('Investment Analysis'!P30="Short-Term",VLOOKUP('Investment Analysis'!R30,'Look-Ups-Mapping'!$D$2:$E$24,2,FALSE),""))</f>
        <v/>
      </c>
      <c r="AA30" s="146" t="str">
        <f>IF(P30="Long-Term",VLOOKUP(S30,'Look-Ups-Mapping'!$G$2:$H$22,2,FALSE),IF('Investment Analysis'!P30="Short-Term",VLOOKUP('Investment Analysis'!S30,'Look-Ups-Mapping'!$G$2:$H$22,2,FALSE),""))</f>
        <v/>
      </c>
      <c r="AB30" s="146" t="e" cm="1">
        <f t="array" ref="AB30">IF(AND(ISNA(Y30)=FALSE,ISNA(Z30)=FALSE,ISNA(AA30)=FALSE),SMALL(Y30:AA30,1),IF(AND(ISNA(Y30)=TRUE,ISNA(Z30)=FALSE,ISNA(AA30)=FALSE),SMALL(Z30:AA30,1),IF(AND(ISNA(Y30)=FALSE,ISNA(Z30)=TRUE,ISNA(AA30)=FALSE),MIN(Y30,AA30),IF(AND(ISNA(Y30)=FALSE,ISNA(Z30)=FALSE,ISNA(AA30)=TRUE),SMALL(Y30:Z30,1),IF(AND(ISNA(Y30)=TRUE,ISNA(Z30)=TRUE,ISNA(AA30)=FALSE),AA30,IF(AND(ISNA(Y30)=TRUE,ISNA(Z30)=FALSE,ISNA(AA30)=TRUE),Z30,IF(AND(ISNA(Y30)=FALSE,ISNA(Z30)=TRUE,ISNA(AA30)=TRUE),Y30,IF(AND(ISNA(Y30)=TRUE,ISNA(Z30)=TRUE,ISNA(AA30)=TRUE),N/A,N/A))))))))</f>
        <v>#NUM!</v>
      </c>
      <c r="AF30" s="146" t="str">
        <f>IF($P30="Short-Term",VLOOKUP(Q30,'Look-Ups-Mapping'!$J$2:$K$5,2,FALSE),"")</f>
        <v/>
      </c>
      <c r="AG30" s="146" t="str">
        <f>IF($P30="Short-Term",VLOOKUP(R30,'Look-Ups-Mapping'!$M$2:$N$8,2,FALSE),"")</f>
        <v/>
      </c>
      <c r="AH30" s="146" t="str">
        <f>IF($P30="Short-Term",VLOOKUP(S30,'Look-Ups-Mapping'!$P$2:$Q$8,2,FALSE),"")</f>
        <v/>
      </c>
      <c r="AI30" s="146" t="e" cm="1">
        <f t="array" ref="AI30">IF(AND(ISNA(AF30)=FALSE,ISNA(AG30)=FALSE,ISNA(AH30)=FALSE),SMALL(AF30:AH30,1),IF(AND(ISNA(AF30)=TRUE,ISNA(AG30)=FALSE,ISNA(AH30)=FALSE),SMALL(AG30:AH30,1),IF(AND(ISNA(AF30)=FALSE,ISNA(AG30)=TRUE,ISNA(AH30)=FALSE),MIN(AF30,AH30),IF(AND(ISNA(AF30)=FALSE,ISNA(AG30)=FALSE,ISNA(AH30)=TRUE),SMALL(AF30:AG30,1),IF(AND(ISNA(AF30)=TRUE,ISNA(AG30)=TRUE,ISNA(AH30)=FALSE),AH30,IF(AND(ISNA(AF30)=TRUE,ISNA(AG30)=FALSE,ISNA(AH30)=TRUE),AG30,IF(AND(ISNA(AF30)=FALSE,ISNA(AG30)=TRUE,ISNA(AH30)=TRUE),AF30,IF(AND(ISNA(AF30)=TRUE,ISNA(AG30)=TRUE,ISNA(AH30)=TRUE),N/A,N/A))))))))</f>
        <v>#NUM!</v>
      </c>
      <c r="AK30" s="147" t="e">
        <f>VLOOKUP(V30,'Look-Ups-Mapping'!$A$29:$B$33,2,FALSE)</f>
        <v>#N/A</v>
      </c>
      <c r="AN30" s="147" t="e">
        <f>VLOOKUP(T30,'Look-Ups-Mapping'!$F$34:$G$35,2,FALSE)</f>
        <v>#N/A</v>
      </c>
      <c r="AP30" s="147" t="e">
        <f>VLOOKUP(U30,'Look-Ups-Mapping'!$F$34:$G$35,2,FALSE)</f>
        <v>#N/A</v>
      </c>
    </row>
    <row r="31" spans="2:42" x14ac:dyDescent="0.25">
      <c r="B31" s="439"/>
      <c r="C31" s="131"/>
      <c r="D31" s="34"/>
      <c r="E31" s="230"/>
      <c r="F31" s="228"/>
      <c r="G31" s="41"/>
      <c r="H31" s="457"/>
      <c r="I31" s="463"/>
      <c r="J31" s="474" t="str">
        <f t="shared" si="11"/>
        <v>N/A</v>
      </c>
      <c r="K31" s="475" t="str">
        <f t="shared" si="6"/>
        <v/>
      </c>
      <c r="L31" s="41" t="str">
        <f t="shared" si="9"/>
        <v/>
      </c>
      <c r="M31" s="41" t="str">
        <f t="shared" si="7"/>
        <v/>
      </c>
      <c r="N31" s="41" t="str">
        <f t="shared" si="10"/>
        <v/>
      </c>
      <c r="O31" s="476" t="str">
        <f t="shared" si="8"/>
        <v/>
      </c>
      <c r="P31" s="388"/>
      <c r="Q31" s="389"/>
      <c r="R31" s="390"/>
      <c r="S31" s="391"/>
      <c r="T31" s="298"/>
      <c r="U31" s="292"/>
      <c r="V31" s="392"/>
      <c r="W31" s="296"/>
      <c r="Y31" s="146" t="str">
        <f>IF(P31="Long-Term",VLOOKUP(Q31,'Look-Ups-Mapping'!$A$2:$B$23,2,FALSE),IF('Investment Analysis'!P31="Short-Term",VLOOKUP('Investment Analysis'!Q31,'Look-Ups-Mapping'!$A$2:$B$23,2,FALSE),""))</f>
        <v/>
      </c>
      <c r="Z31" s="146" t="str">
        <f>IF(P31="Long-Term",VLOOKUP(R31,'Look-Ups-Mapping'!$D$2:$E$24,2,FALSE),IF('Investment Analysis'!P31="Short-Term",VLOOKUP('Investment Analysis'!R31,'Look-Ups-Mapping'!$D$2:$E$24,2,FALSE),""))</f>
        <v/>
      </c>
      <c r="AA31" s="146" t="str">
        <f>IF(P31="Long-Term",VLOOKUP(S31,'Look-Ups-Mapping'!$G$2:$H$22,2,FALSE),IF('Investment Analysis'!P31="Short-Term",VLOOKUP('Investment Analysis'!S31,'Look-Ups-Mapping'!$G$2:$H$22,2,FALSE),""))</f>
        <v/>
      </c>
      <c r="AB31" s="146" t="e" cm="1">
        <f t="array" ref="AB31">IF(AND(ISNA(Y31)=FALSE,ISNA(Z31)=FALSE,ISNA(AA31)=FALSE),SMALL(Y31:AA31,1),IF(AND(ISNA(Y31)=TRUE,ISNA(Z31)=FALSE,ISNA(AA31)=FALSE),SMALL(Z31:AA31,1),IF(AND(ISNA(Y31)=FALSE,ISNA(Z31)=TRUE,ISNA(AA31)=FALSE),MIN(Y31,AA31),IF(AND(ISNA(Y31)=FALSE,ISNA(Z31)=FALSE,ISNA(AA31)=TRUE),SMALL(Y31:Z31,1),IF(AND(ISNA(Y31)=TRUE,ISNA(Z31)=TRUE,ISNA(AA31)=FALSE),AA31,IF(AND(ISNA(Y31)=TRUE,ISNA(Z31)=FALSE,ISNA(AA31)=TRUE),Z31,IF(AND(ISNA(Y31)=FALSE,ISNA(Z31)=TRUE,ISNA(AA31)=TRUE),Y31,IF(AND(ISNA(Y31)=TRUE,ISNA(Z31)=TRUE,ISNA(AA31)=TRUE),N/A,N/A))))))))</f>
        <v>#NUM!</v>
      </c>
      <c r="AF31" s="146" t="str">
        <f>IF($P31="Short-Term",VLOOKUP(Q31,'Look-Ups-Mapping'!$J$2:$K$5,2,FALSE),"")</f>
        <v/>
      </c>
      <c r="AG31" s="146" t="str">
        <f>IF($P31="Short-Term",VLOOKUP(R31,'Look-Ups-Mapping'!$M$2:$N$8,2,FALSE),"")</f>
        <v/>
      </c>
      <c r="AH31" s="146" t="str">
        <f>IF($P31="Short-Term",VLOOKUP(S31,'Look-Ups-Mapping'!$P$2:$Q$8,2,FALSE),"")</f>
        <v/>
      </c>
      <c r="AI31" s="146" t="e" cm="1">
        <f t="array" ref="AI31">IF(AND(ISNA(AF31)=FALSE,ISNA(AG31)=FALSE,ISNA(AH31)=FALSE),SMALL(AF31:AH31,1),IF(AND(ISNA(AF31)=TRUE,ISNA(AG31)=FALSE,ISNA(AH31)=FALSE),SMALL(AG31:AH31,1),IF(AND(ISNA(AF31)=FALSE,ISNA(AG31)=TRUE,ISNA(AH31)=FALSE),MIN(AF31,AH31),IF(AND(ISNA(AF31)=FALSE,ISNA(AG31)=FALSE,ISNA(AH31)=TRUE),SMALL(AF31:AG31,1),IF(AND(ISNA(AF31)=TRUE,ISNA(AG31)=TRUE,ISNA(AH31)=FALSE),AH31,IF(AND(ISNA(AF31)=TRUE,ISNA(AG31)=FALSE,ISNA(AH31)=TRUE),AG31,IF(AND(ISNA(AF31)=FALSE,ISNA(AG31)=TRUE,ISNA(AH31)=TRUE),AF31,IF(AND(ISNA(AF31)=TRUE,ISNA(AG31)=TRUE,ISNA(AH31)=TRUE),N/A,N/A))))))))</f>
        <v>#NUM!</v>
      </c>
      <c r="AK31" s="147" t="e">
        <f>VLOOKUP(V31,'Look-Ups-Mapping'!$A$29:$B$33,2,FALSE)</f>
        <v>#N/A</v>
      </c>
      <c r="AN31" s="147" t="e">
        <f>VLOOKUP(T31,'Look-Ups-Mapping'!$F$34:$G$35,2,FALSE)</f>
        <v>#N/A</v>
      </c>
      <c r="AP31" s="147" t="e">
        <f>VLOOKUP(U31,'Look-Ups-Mapping'!$F$34:$G$35,2,FALSE)</f>
        <v>#N/A</v>
      </c>
    </row>
    <row r="32" spans="2:42" x14ac:dyDescent="0.25">
      <c r="B32" s="439"/>
      <c r="C32" s="131"/>
      <c r="D32" s="34"/>
      <c r="E32" s="230"/>
      <c r="F32" s="228"/>
      <c r="G32" s="41"/>
      <c r="H32" s="457"/>
      <c r="I32" s="463"/>
      <c r="J32" s="474" t="str">
        <f t="shared" si="11"/>
        <v>N/A</v>
      </c>
      <c r="K32" s="475" t="str">
        <f t="shared" si="6"/>
        <v/>
      </c>
      <c r="L32" s="41" t="str">
        <f t="shared" si="9"/>
        <v/>
      </c>
      <c r="M32" s="41" t="str">
        <f t="shared" si="7"/>
        <v/>
      </c>
      <c r="N32" s="41" t="str">
        <f t="shared" si="10"/>
        <v/>
      </c>
      <c r="O32" s="476" t="str">
        <f t="shared" si="8"/>
        <v/>
      </c>
      <c r="P32" s="388"/>
      <c r="Q32" s="389"/>
      <c r="R32" s="390"/>
      <c r="S32" s="391"/>
      <c r="T32" s="298"/>
      <c r="U32" s="292"/>
      <c r="V32" s="392"/>
      <c r="W32" s="296"/>
      <c r="Y32" s="146" t="str">
        <f>IF(P32="Long-Term",VLOOKUP(Q32,'Look-Ups-Mapping'!$A$2:$B$23,2,FALSE),IF('Investment Analysis'!P32="Short-Term",VLOOKUP('Investment Analysis'!Q32,'Look-Ups-Mapping'!$A$2:$B$23,2,FALSE),""))</f>
        <v/>
      </c>
      <c r="Z32" s="146" t="str">
        <f>IF(P32="Long-Term",VLOOKUP(R32,'Look-Ups-Mapping'!$D$2:$E$24,2,FALSE),IF('Investment Analysis'!P32="Short-Term",VLOOKUP('Investment Analysis'!R32,'Look-Ups-Mapping'!$D$2:$E$24,2,FALSE),""))</f>
        <v/>
      </c>
      <c r="AA32" s="146" t="str">
        <f>IF(P32="Long-Term",VLOOKUP(S32,'Look-Ups-Mapping'!$G$2:$H$22,2,FALSE),IF('Investment Analysis'!P32="Short-Term",VLOOKUP('Investment Analysis'!S32,'Look-Ups-Mapping'!$G$2:$H$22,2,FALSE),""))</f>
        <v/>
      </c>
      <c r="AB32" s="146" t="e" cm="1">
        <f t="array" ref="AB32">IF(AND(ISNA(Y32)=FALSE,ISNA(Z32)=FALSE,ISNA(AA32)=FALSE),SMALL(Y32:AA32,1),IF(AND(ISNA(Y32)=TRUE,ISNA(Z32)=FALSE,ISNA(AA32)=FALSE),SMALL(Z32:AA32,1),IF(AND(ISNA(Y32)=FALSE,ISNA(Z32)=TRUE,ISNA(AA32)=FALSE),MIN(Y32,AA32),IF(AND(ISNA(Y32)=FALSE,ISNA(Z32)=FALSE,ISNA(AA32)=TRUE),SMALL(Y32:Z32,1),IF(AND(ISNA(Y32)=TRUE,ISNA(Z32)=TRUE,ISNA(AA32)=FALSE),AA32,IF(AND(ISNA(Y32)=TRUE,ISNA(Z32)=FALSE,ISNA(AA32)=TRUE),Z32,IF(AND(ISNA(Y32)=FALSE,ISNA(Z32)=TRUE,ISNA(AA32)=TRUE),Y32,IF(AND(ISNA(Y32)=TRUE,ISNA(Z32)=TRUE,ISNA(AA32)=TRUE),N/A,N/A))))))))</f>
        <v>#NUM!</v>
      </c>
      <c r="AF32" s="146" t="str">
        <f>IF($P32="Short-Term",VLOOKUP(Q32,'Look-Ups-Mapping'!$J$2:$K$5,2,FALSE),"")</f>
        <v/>
      </c>
      <c r="AG32" s="146" t="str">
        <f>IF($P32="Short-Term",VLOOKUP(R32,'Look-Ups-Mapping'!$M$2:$N$8,2,FALSE),"")</f>
        <v/>
      </c>
      <c r="AH32" s="146" t="str">
        <f>IF($P32="Short-Term",VLOOKUP(S32,'Look-Ups-Mapping'!$P$2:$Q$8,2,FALSE),"")</f>
        <v/>
      </c>
      <c r="AI32" s="146" t="e" cm="1">
        <f t="array" ref="AI32">IF(AND(ISNA(AF32)=FALSE,ISNA(AG32)=FALSE,ISNA(AH32)=FALSE),SMALL(AF32:AH32,1),IF(AND(ISNA(AF32)=TRUE,ISNA(AG32)=FALSE,ISNA(AH32)=FALSE),SMALL(AG32:AH32,1),IF(AND(ISNA(AF32)=FALSE,ISNA(AG32)=TRUE,ISNA(AH32)=FALSE),MIN(AF32,AH32),IF(AND(ISNA(AF32)=FALSE,ISNA(AG32)=FALSE,ISNA(AH32)=TRUE),SMALL(AF32:AG32,1),IF(AND(ISNA(AF32)=TRUE,ISNA(AG32)=TRUE,ISNA(AH32)=FALSE),AH32,IF(AND(ISNA(AF32)=TRUE,ISNA(AG32)=FALSE,ISNA(AH32)=TRUE),AG32,IF(AND(ISNA(AF32)=FALSE,ISNA(AG32)=TRUE,ISNA(AH32)=TRUE),AF32,IF(AND(ISNA(AF32)=TRUE,ISNA(AG32)=TRUE,ISNA(AH32)=TRUE),N/A,N/A))))))))</f>
        <v>#NUM!</v>
      </c>
      <c r="AK32" s="147" t="e">
        <f>VLOOKUP(V32,'Look-Ups-Mapping'!$A$29:$B$33,2,FALSE)</f>
        <v>#N/A</v>
      </c>
      <c r="AN32" s="147" t="e">
        <f>VLOOKUP(T32,'Look-Ups-Mapping'!$F$34:$G$35,2,FALSE)</f>
        <v>#N/A</v>
      </c>
      <c r="AP32" s="147" t="e">
        <f>VLOOKUP(U32,'Look-Ups-Mapping'!$F$34:$G$35,2,FALSE)</f>
        <v>#N/A</v>
      </c>
    </row>
    <row r="33" spans="2:42" x14ac:dyDescent="0.25">
      <c r="B33" s="439"/>
      <c r="C33" s="131"/>
      <c r="D33" s="34"/>
      <c r="E33" s="230"/>
      <c r="F33" s="228"/>
      <c r="G33" s="41"/>
      <c r="H33" s="457"/>
      <c r="I33" s="463"/>
      <c r="J33" s="474" t="str">
        <f t="shared" si="11"/>
        <v>N/A</v>
      </c>
      <c r="K33" s="475" t="str">
        <f t="shared" si="6"/>
        <v/>
      </c>
      <c r="L33" s="41" t="str">
        <f t="shared" si="9"/>
        <v/>
      </c>
      <c r="M33" s="41" t="str">
        <f t="shared" si="7"/>
        <v/>
      </c>
      <c r="N33" s="41" t="str">
        <f t="shared" si="10"/>
        <v/>
      </c>
      <c r="O33" s="476" t="str">
        <f t="shared" si="8"/>
        <v/>
      </c>
      <c r="P33" s="388"/>
      <c r="Q33" s="389"/>
      <c r="R33" s="390"/>
      <c r="S33" s="391"/>
      <c r="T33" s="298"/>
      <c r="U33" s="292"/>
      <c r="V33" s="392"/>
      <c r="W33" s="296"/>
      <c r="Y33" s="146" t="str">
        <f>IF(P33="Long-Term",VLOOKUP(Q33,'Look-Ups-Mapping'!$A$2:$B$23,2,FALSE),IF('Investment Analysis'!P33="Short-Term",VLOOKUP('Investment Analysis'!Q33,'Look-Ups-Mapping'!$A$2:$B$23,2,FALSE),""))</f>
        <v/>
      </c>
      <c r="Z33" s="146" t="str">
        <f>IF(P33="Long-Term",VLOOKUP(R33,'Look-Ups-Mapping'!$D$2:$E$24,2,FALSE),IF('Investment Analysis'!P33="Short-Term",VLOOKUP('Investment Analysis'!R33,'Look-Ups-Mapping'!$D$2:$E$24,2,FALSE),""))</f>
        <v/>
      </c>
      <c r="AA33" s="146" t="str">
        <f>IF(P33="Long-Term",VLOOKUP(S33,'Look-Ups-Mapping'!$G$2:$H$22,2,FALSE),IF('Investment Analysis'!P33="Short-Term",VLOOKUP('Investment Analysis'!S33,'Look-Ups-Mapping'!$G$2:$H$22,2,FALSE),""))</f>
        <v/>
      </c>
      <c r="AB33" s="146" t="e" cm="1">
        <f t="array" ref="AB33">IF(AND(ISNA(Y33)=FALSE,ISNA(Z33)=FALSE,ISNA(AA33)=FALSE),SMALL(Y33:AA33,1),IF(AND(ISNA(Y33)=TRUE,ISNA(Z33)=FALSE,ISNA(AA33)=FALSE),SMALL(Z33:AA33,1),IF(AND(ISNA(Y33)=FALSE,ISNA(Z33)=TRUE,ISNA(AA33)=FALSE),MIN(Y33,AA33),IF(AND(ISNA(Y33)=FALSE,ISNA(Z33)=FALSE,ISNA(AA33)=TRUE),SMALL(Y33:Z33,1),IF(AND(ISNA(Y33)=TRUE,ISNA(Z33)=TRUE,ISNA(AA33)=FALSE),AA33,IF(AND(ISNA(Y33)=TRUE,ISNA(Z33)=FALSE,ISNA(AA33)=TRUE),Z33,IF(AND(ISNA(Y33)=FALSE,ISNA(Z33)=TRUE,ISNA(AA33)=TRUE),Y33,IF(AND(ISNA(Y33)=TRUE,ISNA(Z33)=TRUE,ISNA(AA33)=TRUE),N/A,N/A))))))))</f>
        <v>#NUM!</v>
      </c>
      <c r="AF33" s="146" t="str">
        <f>IF($P33="Short-Term",VLOOKUP(Q33,'Look-Ups-Mapping'!$J$2:$K$5,2,FALSE),"")</f>
        <v/>
      </c>
      <c r="AG33" s="146" t="str">
        <f>IF($P33="Short-Term",VLOOKUP(R33,'Look-Ups-Mapping'!$M$2:$N$8,2,FALSE),"")</f>
        <v/>
      </c>
      <c r="AH33" s="146" t="str">
        <f>IF($P33="Short-Term",VLOOKUP(S33,'Look-Ups-Mapping'!$P$2:$Q$8,2,FALSE),"")</f>
        <v/>
      </c>
      <c r="AI33" s="146" t="e" cm="1">
        <f t="array" ref="AI33">IF(AND(ISNA(AF33)=FALSE,ISNA(AG33)=FALSE,ISNA(AH33)=FALSE),SMALL(AF33:AH33,1),IF(AND(ISNA(AF33)=TRUE,ISNA(AG33)=FALSE,ISNA(AH33)=FALSE),SMALL(AG33:AH33,1),IF(AND(ISNA(AF33)=FALSE,ISNA(AG33)=TRUE,ISNA(AH33)=FALSE),MIN(AF33,AH33),IF(AND(ISNA(AF33)=FALSE,ISNA(AG33)=FALSE,ISNA(AH33)=TRUE),SMALL(AF33:AG33,1),IF(AND(ISNA(AF33)=TRUE,ISNA(AG33)=TRUE,ISNA(AH33)=FALSE),AH33,IF(AND(ISNA(AF33)=TRUE,ISNA(AG33)=FALSE,ISNA(AH33)=TRUE),AG33,IF(AND(ISNA(AF33)=FALSE,ISNA(AG33)=TRUE,ISNA(AH33)=TRUE),AF33,IF(AND(ISNA(AF33)=TRUE,ISNA(AG33)=TRUE,ISNA(AH33)=TRUE),N/A,N/A))))))))</f>
        <v>#NUM!</v>
      </c>
      <c r="AK33" s="147" t="e">
        <f>VLOOKUP(V33,'Look-Ups-Mapping'!$A$29:$B$33,2,FALSE)</f>
        <v>#N/A</v>
      </c>
      <c r="AN33" s="147" t="e">
        <f>VLOOKUP(T33,'Look-Ups-Mapping'!$F$34:$G$35,2,FALSE)</f>
        <v>#N/A</v>
      </c>
      <c r="AP33" s="147" t="e">
        <f>VLOOKUP(U33,'Look-Ups-Mapping'!$F$34:$G$35,2,FALSE)</f>
        <v>#N/A</v>
      </c>
    </row>
    <row r="34" spans="2:42" x14ac:dyDescent="0.25">
      <c r="B34" s="439"/>
      <c r="C34" s="131"/>
      <c r="D34" s="34"/>
      <c r="E34" s="230"/>
      <c r="F34" s="228"/>
      <c r="G34" s="41"/>
      <c r="H34" s="457"/>
      <c r="I34" s="463"/>
      <c r="J34" s="474" t="str">
        <f t="shared" si="11"/>
        <v>N/A</v>
      </c>
      <c r="K34" s="475" t="str">
        <f t="shared" si="6"/>
        <v/>
      </c>
      <c r="L34" s="41" t="str">
        <f t="shared" si="9"/>
        <v/>
      </c>
      <c r="M34" s="41" t="str">
        <f t="shared" si="7"/>
        <v/>
      </c>
      <c r="N34" s="41" t="str">
        <f t="shared" si="10"/>
        <v/>
      </c>
      <c r="O34" s="476" t="str">
        <f t="shared" si="8"/>
        <v/>
      </c>
      <c r="P34" s="388"/>
      <c r="Q34" s="389"/>
      <c r="R34" s="390"/>
      <c r="S34" s="391"/>
      <c r="T34" s="298"/>
      <c r="U34" s="292"/>
      <c r="V34" s="392"/>
      <c r="W34" s="296"/>
      <c r="Y34" s="146" t="str">
        <f>IF(P34="Long-Term",VLOOKUP(Q34,'Look-Ups-Mapping'!$A$2:$B$23,2,FALSE),IF('Investment Analysis'!P34="Short-Term",VLOOKUP('Investment Analysis'!Q34,'Look-Ups-Mapping'!$A$2:$B$23,2,FALSE),""))</f>
        <v/>
      </c>
      <c r="Z34" s="146" t="str">
        <f>IF(P34="Long-Term",VLOOKUP(R34,'Look-Ups-Mapping'!$D$2:$E$24,2,FALSE),IF('Investment Analysis'!P34="Short-Term",VLOOKUP('Investment Analysis'!R34,'Look-Ups-Mapping'!$D$2:$E$24,2,FALSE),""))</f>
        <v/>
      </c>
      <c r="AA34" s="146" t="str">
        <f>IF(P34="Long-Term",VLOOKUP(S34,'Look-Ups-Mapping'!$G$2:$H$22,2,FALSE),IF('Investment Analysis'!P34="Short-Term",VLOOKUP('Investment Analysis'!S34,'Look-Ups-Mapping'!$G$2:$H$22,2,FALSE),""))</f>
        <v/>
      </c>
      <c r="AB34" s="146" t="e" cm="1">
        <f t="array" ref="AB34">IF(AND(ISNA(Y34)=FALSE,ISNA(Z34)=FALSE,ISNA(AA34)=FALSE),SMALL(Y34:AA34,1),IF(AND(ISNA(Y34)=TRUE,ISNA(Z34)=FALSE,ISNA(AA34)=FALSE),SMALL(Z34:AA34,1),IF(AND(ISNA(Y34)=FALSE,ISNA(Z34)=TRUE,ISNA(AA34)=FALSE),MIN(Y34,AA34),IF(AND(ISNA(Y34)=FALSE,ISNA(Z34)=FALSE,ISNA(AA34)=TRUE),SMALL(Y34:Z34,1),IF(AND(ISNA(Y34)=TRUE,ISNA(Z34)=TRUE,ISNA(AA34)=FALSE),AA34,IF(AND(ISNA(Y34)=TRUE,ISNA(Z34)=FALSE,ISNA(AA34)=TRUE),Z34,IF(AND(ISNA(Y34)=FALSE,ISNA(Z34)=TRUE,ISNA(AA34)=TRUE),Y34,IF(AND(ISNA(Y34)=TRUE,ISNA(Z34)=TRUE,ISNA(AA34)=TRUE),N/A,N/A))))))))</f>
        <v>#NUM!</v>
      </c>
      <c r="AF34" s="146" t="str">
        <f>IF($P34="Short-Term",VLOOKUP(Q34,'Look-Ups-Mapping'!$J$2:$K$5,2,FALSE),"")</f>
        <v/>
      </c>
      <c r="AG34" s="146" t="str">
        <f>IF($P34="Short-Term",VLOOKUP(R34,'Look-Ups-Mapping'!$M$2:$N$8,2,FALSE),"")</f>
        <v/>
      </c>
      <c r="AH34" s="146" t="str">
        <f>IF($P34="Short-Term",VLOOKUP(S34,'Look-Ups-Mapping'!$P$2:$Q$8,2,FALSE),"")</f>
        <v/>
      </c>
      <c r="AI34" s="146" t="e" cm="1">
        <f t="array" ref="AI34">IF(AND(ISNA(AF34)=FALSE,ISNA(AG34)=FALSE,ISNA(AH34)=FALSE),SMALL(AF34:AH34,1),IF(AND(ISNA(AF34)=TRUE,ISNA(AG34)=FALSE,ISNA(AH34)=FALSE),SMALL(AG34:AH34,1),IF(AND(ISNA(AF34)=FALSE,ISNA(AG34)=TRUE,ISNA(AH34)=FALSE),MIN(AF34,AH34),IF(AND(ISNA(AF34)=FALSE,ISNA(AG34)=FALSE,ISNA(AH34)=TRUE),SMALL(AF34:AG34,1),IF(AND(ISNA(AF34)=TRUE,ISNA(AG34)=TRUE,ISNA(AH34)=FALSE),AH34,IF(AND(ISNA(AF34)=TRUE,ISNA(AG34)=FALSE,ISNA(AH34)=TRUE),AG34,IF(AND(ISNA(AF34)=FALSE,ISNA(AG34)=TRUE,ISNA(AH34)=TRUE),AF34,IF(AND(ISNA(AF34)=TRUE,ISNA(AG34)=TRUE,ISNA(AH34)=TRUE),N/A,N/A))))))))</f>
        <v>#NUM!</v>
      </c>
      <c r="AK34" s="147" t="e">
        <f>VLOOKUP(V34,'Look-Ups-Mapping'!$A$29:$B$33,2,FALSE)</f>
        <v>#N/A</v>
      </c>
      <c r="AN34" s="147" t="e">
        <f>VLOOKUP(T34,'Look-Ups-Mapping'!$F$34:$G$35,2,FALSE)</f>
        <v>#N/A</v>
      </c>
      <c r="AP34" s="147" t="e">
        <f>VLOOKUP(U34,'Look-Ups-Mapping'!$F$34:$G$35,2,FALSE)</f>
        <v>#N/A</v>
      </c>
    </row>
    <row r="35" spans="2:42" x14ac:dyDescent="0.25">
      <c r="B35" s="439"/>
      <c r="C35" s="131"/>
      <c r="D35" s="34"/>
      <c r="E35" s="230"/>
      <c r="F35" s="228"/>
      <c r="G35" s="41"/>
      <c r="H35" s="457"/>
      <c r="I35" s="463"/>
      <c r="J35" s="474" t="str">
        <f t="shared" si="11"/>
        <v>N/A</v>
      </c>
      <c r="K35" s="475" t="str">
        <f t="shared" si="6"/>
        <v/>
      </c>
      <c r="L35" s="41" t="str">
        <f t="shared" si="9"/>
        <v/>
      </c>
      <c r="M35" s="41" t="str">
        <f t="shared" si="7"/>
        <v/>
      </c>
      <c r="N35" s="41" t="str">
        <f t="shared" si="10"/>
        <v/>
      </c>
      <c r="O35" s="476" t="str">
        <f>IF($E35="Mutual Funds Equities Domestic","",IF($E35="Mutual Funds Equities International","",IF($E35="Real Estate Investment Trusts","",IF($E35="Real Estate Investments","",IF($E35="Exchange Traded Funds-Equity","",IF($E35="Equity Securities-Domestic","",IF($E35="Equity Securities-International","",IF(OR(($J35="N/A"),($J35&lt;3650)),"",H35))))))))</f>
        <v/>
      </c>
      <c r="P35" s="388"/>
      <c r="Q35" s="389"/>
      <c r="R35" s="390"/>
      <c r="S35" s="391"/>
      <c r="T35" s="298"/>
      <c r="U35" s="292"/>
      <c r="V35" s="392"/>
      <c r="W35" s="296"/>
      <c r="Y35" s="146" t="str">
        <f>IF(P35="Long-Term",VLOOKUP(Q35,'Look-Ups-Mapping'!$A$2:$B$23,2,FALSE),IF('Investment Analysis'!P35="Short-Term",VLOOKUP('Investment Analysis'!Q35,'Look-Ups-Mapping'!$A$2:$B$23,2,FALSE),""))</f>
        <v/>
      </c>
      <c r="Z35" s="146" t="str">
        <f>IF(P35="Long-Term",VLOOKUP(R35,'Look-Ups-Mapping'!$D$2:$E$24,2,FALSE),IF('Investment Analysis'!P35="Short-Term",VLOOKUP('Investment Analysis'!R35,'Look-Ups-Mapping'!$D$2:$E$24,2,FALSE),""))</f>
        <v/>
      </c>
      <c r="AA35" s="146" t="str">
        <f>IF(P35="Long-Term",VLOOKUP(S35,'Look-Ups-Mapping'!$G$2:$H$22,2,FALSE),IF('Investment Analysis'!P35="Short-Term",VLOOKUP('Investment Analysis'!S35,'Look-Ups-Mapping'!$G$2:$H$22,2,FALSE),""))</f>
        <v/>
      </c>
      <c r="AB35" s="146" t="e" cm="1">
        <f t="array" ref="AB35">IF(AND(ISNA(Y35)=FALSE,ISNA(Z35)=FALSE,ISNA(AA35)=FALSE),SMALL(Y35:AA35,1),IF(AND(ISNA(Y35)=TRUE,ISNA(Z35)=FALSE,ISNA(AA35)=FALSE),SMALL(Z35:AA35,1),IF(AND(ISNA(Y35)=FALSE,ISNA(Z35)=TRUE,ISNA(AA35)=FALSE),MIN(Y35,AA35),IF(AND(ISNA(Y35)=FALSE,ISNA(Z35)=FALSE,ISNA(AA35)=TRUE),SMALL(Y35:Z35,1),IF(AND(ISNA(Y35)=TRUE,ISNA(Z35)=TRUE,ISNA(AA35)=FALSE),AA35,IF(AND(ISNA(Y35)=TRUE,ISNA(Z35)=FALSE,ISNA(AA35)=TRUE),Z35,IF(AND(ISNA(Y35)=FALSE,ISNA(Z35)=TRUE,ISNA(AA35)=TRUE),Y35,IF(AND(ISNA(Y35)=TRUE,ISNA(Z35)=TRUE,ISNA(AA35)=TRUE),N/A,N/A))))))))</f>
        <v>#NUM!</v>
      </c>
      <c r="AF35" s="146" t="str">
        <f>IF($P35="Short-Term",VLOOKUP(Q35,'Look-Ups-Mapping'!$J$2:$K$5,2,FALSE),"")</f>
        <v/>
      </c>
      <c r="AG35" s="146" t="str">
        <f>IF($P35="Short-Term",VLOOKUP(R35,'Look-Ups-Mapping'!$M$2:$N$8,2,FALSE),"")</f>
        <v/>
      </c>
      <c r="AH35" s="146" t="str">
        <f>IF($P35="Short-Term",VLOOKUP(S35,'Look-Ups-Mapping'!$P$2:$Q$8,2,FALSE),"")</f>
        <v/>
      </c>
      <c r="AI35" s="146" t="e" cm="1">
        <f t="array" ref="AI35">IF(AND(ISNA(AF35)=FALSE,ISNA(AG35)=FALSE,ISNA(AH35)=FALSE),SMALL(AF35:AH35,1),IF(AND(ISNA(AF35)=TRUE,ISNA(AG35)=FALSE,ISNA(AH35)=FALSE),SMALL(AG35:AH35,1),IF(AND(ISNA(AF35)=FALSE,ISNA(AG35)=TRUE,ISNA(AH35)=FALSE),MIN(AF35,AH35),IF(AND(ISNA(AF35)=FALSE,ISNA(AG35)=FALSE,ISNA(AH35)=TRUE),SMALL(AF35:AG35,1),IF(AND(ISNA(AF35)=TRUE,ISNA(AG35)=TRUE,ISNA(AH35)=FALSE),AH35,IF(AND(ISNA(AF35)=TRUE,ISNA(AG35)=FALSE,ISNA(AH35)=TRUE),AG35,IF(AND(ISNA(AF35)=FALSE,ISNA(AG35)=TRUE,ISNA(AH35)=TRUE),AF35,IF(AND(ISNA(AF35)=TRUE,ISNA(AG35)=TRUE,ISNA(AH35)=TRUE),N/A,N/A))))))))</f>
        <v>#NUM!</v>
      </c>
      <c r="AK35" s="147" t="e">
        <f>VLOOKUP(V35,'Look-Ups-Mapping'!$A$29:$B$33,2,FALSE)</f>
        <v>#N/A</v>
      </c>
      <c r="AN35" s="147" t="e">
        <f>VLOOKUP(T35,'Look-Ups-Mapping'!$F$34:$G$35,2,FALSE)</f>
        <v>#N/A</v>
      </c>
      <c r="AP35" s="147" t="e">
        <f>VLOOKUP(U35,'Look-Ups-Mapping'!$F$34:$G$35,2,FALSE)</f>
        <v>#N/A</v>
      </c>
    </row>
    <row r="36" spans="2:42" x14ac:dyDescent="0.25">
      <c r="B36" s="439"/>
      <c r="C36" s="131"/>
      <c r="D36" s="34"/>
      <c r="E36" s="230"/>
      <c r="F36" s="228"/>
      <c r="G36" s="41"/>
      <c r="H36" s="457"/>
      <c r="I36" s="463"/>
      <c r="J36" s="474" t="str">
        <f t="shared" si="11"/>
        <v>N/A</v>
      </c>
      <c r="K36" s="475" t="str">
        <f t="shared" si="6"/>
        <v/>
      </c>
      <c r="L36" s="41" t="str">
        <f t="shared" si="9"/>
        <v/>
      </c>
      <c r="M36" s="41" t="str">
        <f t="shared" si="7"/>
        <v/>
      </c>
      <c r="N36" s="41" t="str">
        <f t="shared" si="10"/>
        <v/>
      </c>
      <c r="O36" s="476" t="str">
        <f t="shared" si="8"/>
        <v/>
      </c>
      <c r="P36" s="388"/>
      <c r="Q36" s="389"/>
      <c r="R36" s="390"/>
      <c r="S36" s="391"/>
      <c r="T36" s="298"/>
      <c r="U36" s="292"/>
      <c r="V36" s="392"/>
      <c r="W36" s="296"/>
      <c r="Y36" s="146" t="str">
        <f>IF(P36="Long-Term",VLOOKUP(Q36,'Look-Ups-Mapping'!$A$2:$B$23,2,FALSE),IF('Investment Analysis'!P36="Short-Term",VLOOKUP('Investment Analysis'!Q36,'Look-Ups-Mapping'!$A$2:$B$23,2,FALSE),""))</f>
        <v/>
      </c>
      <c r="Z36" s="146" t="str">
        <f>IF(P36="Long-Term",VLOOKUP(R36,'Look-Ups-Mapping'!$D$2:$E$24,2,FALSE),IF('Investment Analysis'!P36="Short-Term",VLOOKUP('Investment Analysis'!R36,'Look-Ups-Mapping'!$D$2:$E$24,2,FALSE),""))</f>
        <v/>
      </c>
      <c r="AA36" s="146" t="str">
        <f>IF(P36="Long-Term",VLOOKUP(S36,'Look-Ups-Mapping'!$G$2:$H$22,2,FALSE),IF('Investment Analysis'!P36="Short-Term",VLOOKUP('Investment Analysis'!S36,'Look-Ups-Mapping'!$G$2:$H$22,2,FALSE),""))</f>
        <v/>
      </c>
      <c r="AB36" s="146" t="e" cm="1">
        <f t="array" ref="AB36">IF(AND(ISNA(Y36)=FALSE,ISNA(Z36)=FALSE,ISNA(AA36)=FALSE),SMALL(Y36:AA36,1),IF(AND(ISNA(Y36)=TRUE,ISNA(Z36)=FALSE,ISNA(AA36)=FALSE),SMALL(Z36:AA36,1),IF(AND(ISNA(Y36)=FALSE,ISNA(Z36)=TRUE,ISNA(AA36)=FALSE),MIN(Y36,AA36),IF(AND(ISNA(Y36)=FALSE,ISNA(Z36)=FALSE,ISNA(AA36)=TRUE),SMALL(Y36:Z36,1),IF(AND(ISNA(Y36)=TRUE,ISNA(Z36)=TRUE,ISNA(AA36)=FALSE),AA36,IF(AND(ISNA(Y36)=TRUE,ISNA(Z36)=FALSE,ISNA(AA36)=TRUE),Z36,IF(AND(ISNA(Y36)=FALSE,ISNA(Z36)=TRUE,ISNA(AA36)=TRUE),Y36,IF(AND(ISNA(Y36)=TRUE,ISNA(Z36)=TRUE,ISNA(AA36)=TRUE),N/A,N/A))))))))</f>
        <v>#NUM!</v>
      </c>
      <c r="AF36" s="146" t="str">
        <f>IF($P36="Short-Term",VLOOKUP(Q36,'Look-Ups-Mapping'!$J$2:$K$5,2,FALSE),"")</f>
        <v/>
      </c>
      <c r="AG36" s="146" t="str">
        <f>IF($P36="Short-Term",VLOOKUP(R36,'Look-Ups-Mapping'!$M$2:$N$8,2,FALSE),"")</f>
        <v/>
      </c>
      <c r="AH36" s="146" t="str">
        <f>IF($P36="Short-Term",VLOOKUP(S36,'Look-Ups-Mapping'!$P$2:$Q$8,2,FALSE),"")</f>
        <v/>
      </c>
      <c r="AI36" s="146" t="e" cm="1">
        <f t="array" ref="AI36">IF(AND(ISNA(AF36)=FALSE,ISNA(AG36)=FALSE,ISNA(AH36)=FALSE),SMALL(AF36:AH36,1),IF(AND(ISNA(AF36)=TRUE,ISNA(AG36)=FALSE,ISNA(AH36)=FALSE),SMALL(AG36:AH36,1),IF(AND(ISNA(AF36)=FALSE,ISNA(AG36)=TRUE,ISNA(AH36)=FALSE),MIN(AF36,AH36),IF(AND(ISNA(AF36)=FALSE,ISNA(AG36)=FALSE,ISNA(AH36)=TRUE),SMALL(AF36:AG36,1),IF(AND(ISNA(AF36)=TRUE,ISNA(AG36)=TRUE,ISNA(AH36)=FALSE),AH36,IF(AND(ISNA(AF36)=TRUE,ISNA(AG36)=FALSE,ISNA(AH36)=TRUE),AG36,IF(AND(ISNA(AF36)=FALSE,ISNA(AG36)=TRUE,ISNA(AH36)=TRUE),AF36,IF(AND(ISNA(AF36)=TRUE,ISNA(AG36)=TRUE,ISNA(AH36)=TRUE),N/A,N/A))))))))</f>
        <v>#NUM!</v>
      </c>
      <c r="AK36" s="147" t="e">
        <f>VLOOKUP(V36,'Look-Ups-Mapping'!$A$29:$B$33,2,FALSE)</f>
        <v>#N/A</v>
      </c>
      <c r="AN36" s="147" t="e">
        <f>VLOOKUP(T36,'Look-Ups-Mapping'!$F$34:$G$35,2,FALSE)</f>
        <v>#N/A</v>
      </c>
      <c r="AP36" s="147" t="e">
        <f>VLOOKUP(U36,'Look-Ups-Mapping'!$F$34:$G$35,2,FALSE)</f>
        <v>#N/A</v>
      </c>
    </row>
    <row r="37" spans="2:42" x14ac:dyDescent="0.25">
      <c r="B37" s="439"/>
      <c r="C37" s="131"/>
      <c r="D37" s="34"/>
      <c r="E37" s="230"/>
      <c r="F37" s="228"/>
      <c r="G37" s="41"/>
      <c r="H37" s="457"/>
      <c r="I37" s="463"/>
      <c r="J37" s="474" t="str">
        <f>IF($E37="Mutual Funds Equities Domestic","",IF($E37="Mutual Funds Equities International","",IF($E37="Real Estate Investment Trusts","",IF($E37="Real Estate Investments","",IF($E37="Exchange Traded Funds-Equity","",IF($E37="Equity Securities-Domestic","",IF($E37="Equity Securities-International","",IF(I37="","N/A",(I37-$H$19)))))))))</f>
        <v>N/A</v>
      </c>
      <c r="K37" s="475" t="str">
        <f t="shared" si="6"/>
        <v/>
      </c>
      <c r="L37" s="41" t="str">
        <f t="shared" si="9"/>
        <v/>
      </c>
      <c r="M37" s="41" t="str">
        <f t="shared" si="7"/>
        <v/>
      </c>
      <c r="N37" s="41" t="str">
        <f t="shared" si="10"/>
        <v/>
      </c>
      <c r="O37" s="476" t="str">
        <f t="shared" si="8"/>
        <v/>
      </c>
      <c r="P37" s="388"/>
      <c r="Q37" s="389"/>
      <c r="R37" s="390"/>
      <c r="S37" s="391"/>
      <c r="T37" s="298"/>
      <c r="U37" s="292"/>
      <c r="V37" s="392"/>
      <c r="W37" s="296"/>
      <c r="Y37" s="146" t="str">
        <f>IF(P37="Long-Term",VLOOKUP(Q37,'Look-Ups-Mapping'!$A$2:$B$23,2,FALSE),IF('Investment Analysis'!P37="Short-Term",VLOOKUP('Investment Analysis'!Q37,'Look-Ups-Mapping'!$A$2:$B$23,2,FALSE),""))</f>
        <v/>
      </c>
      <c r="Z37" s="146" t="str">
        <f>IF(P37="Long-Term",VLOOKUP(R37,'Look-Ups-Mapping'!$D$2:$E$24,2,FALSE),IF('Investment Analysis'!P37="Short-Term",VLOOKUP('Investment Analysis'!R37,'Look-Ups-Mapping'!$D$2:$E$24,2,FALSE),""))</f>
        <v/>
      </c>
      <c r="AA37" s="146" t="str">
        <f>IF(P37="Long-Term",VLOOKUP(S37,'Look-Ups-Mapping'!$G$2:$H$22,2,FALSE),IF('Investment Analysis'!P37="Short-Term",VLOOKUP('Investment Analysis'!S37,'Look-Ups-Mapping'!$G$2:$H$22,2,FALSE),""))</f>
        <v/>
      </c>
      <c r="AB37" s="146" t="e" cm="1">
        <f t="array" ref="AB37">IF(AND(ISNA(Y37)=FALSE,ISNA(Z37)=FALSE,ISNA(AA37)=FALSE),SMALL(Y37:AA37,1),IF(AND(ISNA(Y37)=TRUE,ISNA(Z37)=FALSE,ISNA(AA37)=FALSE),SMALL(Z37:AA37,1),IF(AND(ISNA(Y37)=FALSE,ISNA(Z37)=TRUE,ISNA(AA37)=FALSE),MIN(Y37,AA37),IF(AND(ISNA(Y37)=FALSE,ISNA(Z37)=FALSE,ISNA(AA37)=TRUE),SMALL(Y37:Z37,1),IF(AND(ISNA(Y37)=TRUE,ISNA(Z37)=TRUE,ISNA(AA37)=FALSE),AA37,IF(AND(ISNA(Y37)=TRUE,ISNA(Z37)=FALSE,ISNA(AA37)=TRUE),Z37,IF(AND(ISNA(Y37)=FALSE,ISNA(Z37)=TRUE,ISNA(AA37)=TRUE),Y37,IF(AND(ISNA(Y37)=TRUE,ISNA(Z37)=TRUE,ISNA(AA37)=TRUE),N/A,N/A))))))))</f>
        <v>#NUM!</v>
      </c>
      <c r="AF37" s="146" t="str">
        <f>IF($P37="Short-Term",VLOOKUP(Q37,'Look-Ups-Mapping'!$J$2:$K$5,2,FALSE),"")</f>
        <v/>
      </c>
      <c r="AG37" s="146" t="str">
        <f>IF($P37="Short-Term",VLOOKUP(R37,'Look-Ups-Mapping'!$M$2:$N$8,2,FALSE),"")</f>
        <v/>
      </c>
      <c r="AH37" s="146" t="str">
        <f>IF($P37="Short-Term",VLOOKUP(S37,'Look-Ups-Mapping'!$P$2:$Q$8,2,FALSE),"")</f>
        <v/>
      </c>
      <c r="AI37" s="146" t="e" cm="1">
        <f t="array" ref="AI37">IF(AND(ISNA(AF37)=FALSE,ISNA(AG37)=FALSE,ISNA(AH37)=FALSE),SMALL(AF37:AH37,1),IF(AND(ISNA(AF37)=TRUE,ISNA(AG37)=FALSE,ISNA(AH37)=FALSE),SMALL(AG37:AH37,1),IF(AND(ISNA(AF37)=FALSE,ISNA(AG37)=TRUE,ISNA(AH37)=FALSE),MIN(AF37,AH37),IF(AND(ISNA(AF37)=FALSE,ISNA(AG37)=FALSE,ISNA(AH37)=TRUE),SMALL(AF37:AG37,1),IF(AND(ISNA(AF37)=TRUE,ISNA(AG37)=TRUE,ISNA(AH37)=FALSE),AH37,IF(AND(ISNA(AF37)=TRUE,ISNA(AG37)=FALSE,ISNA(AH37)=TRUE),AG37,IF(AND(ISNA(AF37)=FALSE,ISNA(AG37)=TRUE,ISNA(AH37)=TRUE),AF37,IF(AND(ISNA(AF37)=TRUE,ISNA(AG37)=TRUE,ISNA(AH37)=TRUE),N/A,N/A))))))))</f>
        <v>#NUM!</v>
      </c>
      <c r="AK37" s="147" t="e">
        <f>VLOOKUP(V37,'Look-Ups-Mapping'!$A$29:$B$33,2,FALSE)</f>
        <v>#N/A</v>
      </c>
      <c r="AN37" s="147" t="e">
        <f>VLOOKUP(T37,'Look-Ups-Mapping'!$F$34:$G$35,2,FALSE)</f>
        <v>#N/A</v>
      </c>
      <c r="AP37" s="147" t="e">
        <f>VLOOKUP(U37,'Look-Ups-Mapping'!$F$34:$G$35,2,FALSE)</f>
        <v>#N/A</v>
      </c>
    </row>
    <row r="38" spans="2:42" x14ac:dyDescent="0.25">
      <c r="B38" s="439"/>
      <c r="C38" s="131"/>
      <c r="D38" s="34"/>
      <c r="E38" s="230"/>
      <c r="F38" s="228"/>
      <c r="G38" s="41"/>
      <c r="H38" s="457"/>
      <c r="I38" s="463"/>
      <c r="J38" s="474" t="str">
        <f t="shared" si="11"/>
        <v>N/A</v>
      </c>
      <c r="K38" s="475" t="str">
        <f t="shared" si="6"/>
        <v/>
      </c>
      <c r="L38" s="41" t="str">
        <f t="shared" si="9"/>
        <v/>
      </c>
      <c r="M38" s="41" t="str">
        <f t="shared" si="7"/>
        <v/>
      </c>
      <c r="N38" s="41" t="str">
        <f t="shared" si="10"/>
        <v/>
      </c>
      <c r="O38" s="476" t="str">
        <f t="shared" si="8"/>
        <v/>
      </c>
      <c r="P38" s="388"/>
      <c r="Q38" s="389"/>
      <c r="R38" s="390"/>
      <c r="S38" s="391"/>
      <c r="T38" s="298"/>
      <c r="U38" s="292"/>
      <c r="V38" s="392"/>
      <c r="W38" s="296"/>
      <c r="Y38" s="146" t="str">
        <f>IF(P38="Long-Term",VLOOKUP(Q38,'Look-Ups-Mapping'!$A$2:$B$23,2,FALSE),IF('Investment Analysis'!P38="Short-Term",VLOOKUP('Investment Analysis'!Q38,'Look-Ups-Mapping'!$A$2:$B$23,2,FALSE),""))</f>
        <v/>
      </c>
      <c r="Z38" s="146" t="str">
        <f>IF(P38="Long-Term",VLOOKUP(R38,'Look-Ups-Mapping'!$D$2:$E$24,2,FALSE),IF('Investment Analysis'!P38="Short-Term",VLOOKUP('Investment Analysis'!R38,'Look-Ups-Mapping'!$D$2:$E$24,2,FALSE),""))</f>
        <v/>
      </c>
      <c r="AA38" s="146" t="str">
        <f>IF(P38="Long-Term",VLOOKUP(S38,'Look-Ups-Mapping'!$G$2:$H$22,2,FALSE),IF('Investment Analysis'!P38="Short-Term",VLOOKUP('Investment Analysis'!S38,'Look-Ups-Mapping'!$G$2:$H$22,2,FALSE),""))</f>
        <v/>
      </c>
      <c r="AB38" s="146" t="e" cm="1">
        <f t="array" ref="AB38">IF(AND(ISNA(Y38)=FALSE,ISNA(Z38)=FALSE,ISNA(AA38)=FALSE),SMALL(Y38:AA38,1),IF(AND(ISNA(Y38)=TRUE,ISNA(Z38)=FALSE,ISNA(AA38)=FALSE),SMALL(Z38:AA38,1),IF(AND(ISNA(Y38)=FALSE,ISNA(Z38)=TRUE,ISNA(AA38)=FALSE),MIN(Y38,AA38),IF(AND(ISNA(Y38)=FALSE,ISNA(Z38)=FALSE,ISNA(AA38)=TRUE),SMALL(Y38:Z38,1),IF(AND(ISNA(Y38)=TRUE,ISNA(Z38)=TRUE,ISNA(AA38)=FALSE),AA38,IF(AND(ISNA(Y38)=TRUE,ISNA(Z38)=FALSE,ISNA(AA38)=TRUE),Z38,IF(AND(ISNA(Y38)=FALSE,ISNA(Z38)=TRUE,ISNA(AA38)=TRUE),Y38,IF(AND(ISNA(Y38)=TRUE,ISNA(Z38)=TRUE,ISNA(AA38)=TRUE),N/A,N/A))))))))</f>
        <v>#NUM!</v>
      </c>
      <c r="AF38" s="146" t="str">
        <f>IF($P38="Short-Term",VLOOKUP(Q38,'Look-Ups-Mapping'!$J$2:$K$5,2,FALSE),"")</f>
        <v/>
      </c>
      <c r="AG38" s="146" t="str">
        <f>IF($P38="Short-Term",VLOOKUP(R38,'Look-Ups-Mapping'!$M$2:$N$8,2,FALSE),"")</f>
        <v/>
      </c>
      <c r="AH38" s="146" t="str">
        <f>IF($P38="Short-Term",VLOOKUP(S38,'Look-Ups-Mapping'!$P$2:$Q$8,2,FALSE),"")</f>
        <v/>
      </c>
      <c r="AI38" s="146" t="e" cm="1">
        <f t="array" ref="AI38">IF(AND(ISNA(AF38)=FALSE,ISNA(AG38)=FALSE,ISNA(AH38)=FALSE),SMALL(AF38:AH38,1),IF(AND(ISNA(AF38)=TRUE,ISNA(AG38)=FALSE,ISNA(AH38)=FALSE),SMALL(AG38:AH38,1),IF(AND(ISNA(AF38)=FALSE,ISNA(AG38)=TRUE,ISNA(AH38)=FALSE),MIN(AF38,AH38),IF(AND(ISNA(AF38)=FALSE,ISNA(AG38)=FALSE,ISNA(AH38)=TRUE),SMALL(AF38:AG38,1),IF(AND(ISNA(AF38)=TRUE,ISNA(AG38)=TRUE,ISNA(AH38)=FALSE),AH38,IF(AND(ISNA(AF38)=TRUE,ISNA(AG38)=FALSE,ISNA(AH38)=TRUE),AG38,IF(AND(ISNA(AF38)=FALSE,ISNA(AG38)=TRUE,ISNA(AH38)=TRUE),AF38,IF(AND(ISNA(AF38)=TRUE,ISNA(AG38)=TRUE,ISNA(AH38)=TRUE),N/A,N/A))))))))</f>
        <v>#NUM!</v>
      </c>
      <c r="AK38" s="147" t="e">
        <f>VLOOKUP(V38,'Look-Ups-Mapping'!$A$29:$B$33,2,FALSE)</f>
        <v>#N/A</v>
      </c>
      <c r="AN38" s="147" t="e">
        <f>VLOOKUP(T38,'Look-Ups-Mapping'!$F$34:$G$35,2,FALSE)</f>
        <v>#N/A</v>
      </c>
      <c r="AP38" s="147" t="e">
        <f>VLOOKUP(U38,'Look-Ups-Mapping'!$F$34:$G$35,2,FALSE)</f>
        <v>#N/A</v>
      </c>
    </row>
    <row r="39" spans="2:42" x14ac:dyDescent="0.25">
      <c r="B39" s="439"/>
      <c r="C39" s="131"/>
      <c r="D39" s="34"/>
      <c r="E39" s="230"/>
      <c r="F39" s="228"/>
      <c r="G39" s="41"/>
      <c r="H39" s="457"/>
      <c r="I39" s="463"/>
      <c r="J39" s="474" t="str">
        <f t="shared" si="11"/>
        <v>N/A</v>
      </c>
      <c r="K39" s="475" t="str">
        <f t="shared" si="6"/>
        <v/>
      </c>
      <c r="L39" s="41" t="str">
        <f t="shared" si="9"/>
        <v/>
      </c>
      <c r="M39" s="41" t="str">
        <f t="shared" si="7"/>
        <v/>
      </c>
      <c r="N39" s="41" t="str">
        <f t="shared" si="10"/>
        <v/>
      </c>
      <c r="O39" s="476" t="str">
        <f t="shared" si="8"/>
        <v/>
      </c>
      <c r="P39" s="388"/>
      <c r="Q39" s="389"/>
      <c r="R39" s="390"/>
      <c r="S39" s="391"/>
      <c r="T39" s="298"/>
      <c r="U39" s="292"/>
      <c r="V39" s="392"/>
      <c r="W39" s="296"/>
      <c r="Y39" s="146" t="str">
        <f>IF(P39="Long-Term",VLOOKUP(Q39,'Look-Ups-Mapping'!$A$2:$B$23,2,FALSE),IF('Investment Analysis'!P39="Short-Term",VLOOKUP('Investment Analysis'!Q39,'Look-Ups-Mapping'!$A$2:$B$23,2,FALSE),""))</f>
        <v/>
      </c>
      <c r="Z39" s="146" t="str">
        <f>IF(P39="Long-Term",VLOOKUP(R39,'Look-Ups-Mapping'!$D$2:$E$24,2,FALSE),IF('Investment Analysis'!P39="Short-Term",VLOOKUP('Investment Analysis'!R39,'Look-Ups-Mapping'!$D$2:$E$24,2,FALSE),""))</f>
        <v/>
      </c>
      <c r="AA39" s="146" t="str">
        <f>IF(P39="Long-Term",VLOOKUP(S39,'Look-Ups-Mapping'!$G$2:$H$22,2,FALSE),IF('Investment Analysis'!P39="Short-Term",VLOOKUP('Investment Analysis'!S39,'Look-Ups-Mapping'!$G$2:$H$22,2,FALSE),""))</f>
        <v/>
      </c>
      <c r="AB39" s="146" t="e" cm="1">
        <f t="array" ref="AB39">IF(AND(ISNA(Y39)=FALSE,ISNA(Z39)=FALSE,ISNA(AA39)=FALSE),SMALL(Y39:AA39,1),IF(AND(ISNA(Y39)=TRUE,ISNA(Z39)=FALSE,ISNA(AA39)=FALSE),SMALL(Z39:AA39,1),IF(AND(ISNA(Y39)=FALSE,ISNA(Z39)=TRUE,ISNA(AA39)=FALSE),MIN(Y39,AA39),IF(AND(ISNA(Y39)=FALSE,ISNA(Z39)=FALSE,ISNA(AA39)=TRUE),SMALL(Y39:Z39,1),IF(AND(ISNA(Y39)=TRUE,ISNA(Z39)=TRUE,ISNA(AA39)=FALSE),AA39,IF(AND(ISNA(Y39)=TRUE,ISNA(Z39)=FALSE,ISNA(AA39)=TRUE),Z39,IF(AND(ISNA(Y39)=FALSE,ISNA(Z39)=TRUE,ISNA(AA39)=TRUE),Y39,IF(AND(ISNA(Y39)=TRUE,ISNA(Z39)=TRUE,ISNA(AA39)=TRUE),N/A,N/A))))))))</f>
        <v>#NUM!</v>
      </c>
      <c r="AF39" s="146" t="str">
        <f>IF($P39="Short-Term",VLOOKUP(Q39,'Look-Ups-Mapping'!$J$2:$K$5,2,FALSE),"")</f>
        <v/>
      </c>
      <c r="AG39" s="146" t="str">
        <f>IF($P39="Short-Term",VLOOKUP(R39,'Look-Ups-Mapping'!$M$2:$N$8,2,FALSE),"")</f>
        <v/>
      </c>
      <c r="AH39" s="146" t="str">
        <f>IF($P39="Short-Term",VLOOKUP(S39,'Look-Ups-Mapping'!$P$2:$Q$8,2,FALSE),"")</f>
        <v/>
      </c>
      <c r="AI39" s="146" t="e" cm="1">
        <f t="array" ref="AI39">IF(AND(ISNA(AF39)=FALSE,ISNA(AG39)=FALSE,ISNA(AH39)=FALSE),SMALL(AF39:AH39,1),IF(AND(ISNA(AF39)=TRUE,ISNA(AG39)=FALSE,ISNA(AH39)=FALSE),SMALL(AG39:AH39,1),IF(AND(ISNA(AF39)=FALSE,ISNA(AG39)=TRUE,ISNA(AH39)=FALSE),MIN(AF39,AH39),IF(AND(ISNA(AF39)=FALSE,ISNA(AG39)=FALSE,ISNA(AH39)=TRUE),SMALL(AF39:AG39,1),IF(AND(ISNA(AF39)=TRUE,ISNA(AG39)=TRUE,ISNA(AH39)=FALSE),AH39,IF(AND(ISNA(AF39)=TRUE,ISNA(AG39)=FALSE,ISNA(AH39)=TRUE),AG39,IF(AND(ISNA(AF39)=FALSE,ISNA(AG39)=TRUE,ISNA(AH39)=TRUE),AF39,IF(AND(ISNA(AF39)=TRUE,ISNA(AG39)=TRUE,ISNA(AH39)=TRUE),N/A,N/A))))))))</f>
        <v>#NUM!</v>
      </c>
      <c r="AK39" s="147" t="e">
        <f>VLOOKUP(V39,'Look-Ups-Mapping'!$A$29:$B$33,2,FALSE)</f>
        <v>#N/A</v>
      </c>
      <c r="AN39" s="147" t="e">
        <f>VLOOKUP(T39,'Look-Ups-Mapping'!$F$34:$G$35,2,FALSE)</f>
        <v>#N/A</v>
      </c>
      <c r="AP39" s="147" t="e">
        <f>VLOOKUP(U39,'Look-Ups-Mapping'!$F$34:$G$35,2,FALSE)</f>
        <v>#N/A</v>
      </c>
    </row>
    <row r="40" spans="2:42" x14ac:dyDescent="0.25">
      <c r="B40" s="439"/>
      <c r="C40" s="131"/>
      <c r="D40" s="34"/>
      <c r="E40" s="230"/>
      <c r="F40" s="228"/>
      <c r="G40" s="41"/>
      <c r="H40" s="457"/>
      <c r="I40" s="463"/>
      <c r="J40" s="474" t="str">
        <f t="shared" si="11"/>
        <v>N/A</v>
      </c>
      <c r="K40" s="475" t="str">
        <f t="shared" si="6"/>
        <v/>
      </c>
      <c r="L40" s="41" t="str">
        <f t="shared" si="9"/>
        <v/>
      </c>
      <c r="M40" s="41" t="str">
        <f t="shared" si="7"/>
        <v/>
      </c>
      <c r="N40" s="41" t="str">
        <f t="shared" si="10"/>
        <v/>
      </c>
      <c r="O40" s="476" t="str">
        <f t="shared" si="8"/>
        <v/>
      </c>
      <c r="P40" s="388"/>
      <c r="Q40" s="389"/>
      <c r="R40" s="390"/>
      <c r="S40" s="391"/>
      <c r="T40" s="298"/>
      <c r="U40" s="292"/>
      <c r="V40" s="392"/>
      <c r="W40" s="296"/>
      <c r="Y40" s="146" t="str">
        <f>IF(P40="Long-Term",VLOOKUP(Q40,'Look-Ups-Mapping'!$A$2:$B$23,2,FALSE),IF('Investment Analysis'!P40="Short-Term",VLOOKUP('Investment Analysis'!Q40,'Look-Ups-Mapping'!$A$2:$B$23,2,FALSE),""))</f>
        <v/>
      </c>
      <c r="Z40" s="146" t="str">
        <f>IF(P40="Long-Term",VLOOKUP(R40,'Look-Ups-Mapping'!$D$2:$E$24,2,FALSE),IF('Investment Analysis'!P40="Short-Term",VLOOKUP('Investment Analysis'!R40,'Look-Ups-Mapping'!$D$2:$E$24,2,FALSE),""))</f>
        <v/>
      </c>
      <c r="AA40" s="146" t="str">
        <f>IF(P40="Long-Term",VLOOKUP(S40,'Look-Ups-Mapping'!$G$2:$H$22,2,FALSE),IF('Investment Analysis'!P40="Short-Term",VLOOKUP('Investment Analysis'!S40,'Look-Ups-Mapping'!$G$2:$H$22,2,FALSE),""))</f>
        <v/>
      </c>
      <c r="AB40" s="146" t="e" cm="1">
        <f t="array" ref="AB40">IF(AND(ISNA(Y40)=FALSE,ISNA(Z40)=FALSE,ISNA(AA40)=FALSE),SMALL(Y40:AA40,1),IF(AND(ISNA(Y40)=TRUE,ISNA(Z40)=FALSE,ISNA(AA40)=FALSE),SMALL(Z40:AA40,1),IF(AND(ISNA(Y40)=FALSE,ISNA(Z40)=TRUE,ISNA(AA40)=FALSE),MIN(Y40,AA40),IF(AND(ISNA(Y40)=FALSE,ISNA(Z40)=FALSE,ISNA(AA40)=TRUE),SMALL(Y40:Z40,1),IF(AND(ISNA(Y40)=TRUE,ISNA(Z40)=TRUE,ISNA(AA40)=FALSE),AA40,IF(AND(ISNA(Y40)=TRUE,ISNA(Z40)=FALSE,ISNA(AA40)=TRUE),Z40,IF(AND(ISNA(Y40)=FALSE,ISNA(Z40)=TRUE,ISNA(AA40)=TRUE),Y40,IF(AND(ISNA(Y40)=TRUE,ISNA(Z40)=TRUE,ISNA(AA40)=TRUE),N/A,N/A))))))))</f>
        <v>#NUM!</v>
      </c>
      <c r="AF40" s="146" t="str">
        <f>IF($P40="Short-Term",VLOOKUP(Q40,'Look-Ups-Mapping'!$J$2:$K$5,2,FALSE),"")</f>
        <v/>
      </c>
      <c r="AG40" s="146" t="str">
        <f>IF($P40="Short-Term",VLOOKUP(R40,'Look-Ups-Mapping'!$M$2:$N$8,2,FALSE),"")</f>
        <v/>
      </c>
      <c r="AH40" s="146" t="str">
        <f>IF($P40="Short-Term",VLOOKUP(S40,'Look-Ups-Mapping'!$P$2:$Q$8,2,FALSE),"")</f>
        <v/>
      </c>
      <c r="AI40" s="146" t="e" cm="1">
        <f t="array" ref="AI40">IF(AND(ISNA(AF40)=FALSE,ISNA(AG40)=FALSE,ISNA(AH40)=FALSE),SMALL(AF40:AH40,1),IF(AND(ISNA(AF40)=TRUE,ISNA(AG40)=FALSE,ISNA(AH40)=FALSE),SMALL(AG40:AH40,1),IF(AND(ISNA(AF40)=FALSE,ISNA(AG40)=TRUE,ISNA(AH40)=FALSE),MIN(AF40,AH40),IF(AND(ISNA(AF40)=FALSE,ISNA(AG40)=FALSE,ISNA(AH40)=TRUE),SMALL(AF40:AG40,1),IF(AND(ISNA(AF40)=TRUE,ISNA(AG40)=TRUE,ISNA(AH40)=FALSE),AH40,IF(AND(ISNA(AF40)=TRUE,ISNA(AG40)=FALSE,ISNA(AH40)=TRUE),AG40,IF(AND(ISNA(AF40)=FALSE,ISNA(AG40)=TRUE,ISNA(AH40)=TRUE),AF40,IF(AND(ISNA(AF40)=TRUE,ISNA(AG40)=TRUE,ISNA(AH40)=TRUE),N/A,N/A))))))))</f>
        <v>#NUM!</v>
      </c>
      <c r="AK40" s="147" t="e">
        <f>VLOOKUP(V40,'Look-Ups-Mapping'!$A$29:$B$33,2,FALSE)</f>
        <v>#N/A</v>
      </c>
      <c r="AN40" s="147" t="e">
        <f>VLOOKUP(T40,'Look-Ups-Mapping'!$F$34:$G$35,2,FALSE)</f>
        <v>#N/A</v>
      </c>
      <c r="AP40" s="147" t="e">
        <f>VLOOKUP(U40,'Look-Ups-Mapping'!$F$34:$G$35,2,FALSE)</f>
        <v>#N/A</v>
      </c>
    </row>
    <row r="41" spans="2:42" x14ac:dyDescent="0.25">
      <c r="B41" s="439"/>
      <c r="C41" s="131"/>
      <c r="D41" s="34"/>
      <c r="E41" s="230"/>
      <c r="F41" s="228"/>
      <c r="G41" s="41"/>
      <c r="H41" s="457"/>
      <c r="I41" s="463"/>
      <c r="J41" s="474" t="str">
        <f t="shared" si="11"/>
        <v>N/A</v>
      </c>
      <c r="K41" s="475" t="str">
        <f t="shared" si="6"/>
        <v/>
      </c>
      <c r="L41" s="41" t="str">
        <f t="shared" si="9"/>
        <v/>
      </c>
      <c r="M41" s="41" t="str">
        <f t="shared" si="7"/>
        <v/>
      </c>
      <c r="N41" s="41" t="str">
        <f t="shared" si="10"/>
        <v/>
      </c>
      <c r="O41" s="476" t="str">
        <f t="shared" si="8"/>
        <v/>
      </c>
      <c r="P41" s="388"/>
      <c r="Q41" s="389"/>
      <c r="R41" s="390"/>
      <c r="S41" s="391"/>
      <c r="T41" s="298"/>
      <c r="U41" s="292"/>
      <c r="V41" s="392"/>
      <c r="W41" s="296"/>
      <c r="Y41" s="146" t="str">
        <f>IF(P41="Long-Term",VLOOKUP(Q41,'Look-Ups-Mapping'!$A$2:$B$23,2,FALSE),IF('Investment Analysis'!P41="Short-Term",VLOOKUP('Investment Analysis'!Q41,'Look-Ups-Mapping'!$A$2:$B$23,2,FALSE),""))</f>
        <v/>
      </c>
      <c r="Z41" s="146" t="str">
        <f>IF(P41="Long-Term",VLOOKUP(R41,'Look-Ups-Mapping'!$D$2:$E$24,2,FALSE),IF('Investment Analysis'!P41="Short-Term",VLOOKUP('Investment Analysis'!R41,'Look-Ups-Mapping'!$D$2:$E$24,2,FALSE),""))</f>
        <v/>
      </c>
      <c r="AA41" s="146" t="str">
        <f>IF(P41="Long-Term",VLOOKUP(S41,'Look-Ups-Mapping'!$G$2:$H$22,2,FALSE),IF('Investment Analysis'!P41="Short-Term",VLOOKUP('Investment Analysis'!S41,'Look-Ups-Mapping'!$G$2:$H$22,2,FALSE),""))</f>
        <v/>
      </c>
      <c r="AB41" s="146" t="e" cm="1">
        <f t="array" ref="AB41">IF(AND(ISNA(Y41)=FALSE,ISNA(Z41)=FALSE,ISNA(AA41)=FALSE),SMALL(Y41:AA41,1),IF(AND(ISNA(Y41)=TRUE,ISNA(Z41)=FALSE,ISNA(AA41)=FALSE),SMALL(Z41:AA41,1),IF(AND(ISNA(Y41)=FALSE,ISNA(Z41)=TRUE,ISNA(AA41)=FALSE),MIN(Y41,AA41),IF(AND(ISNA(Y41)=FALSE,ISNA(Z41)=FALSE,ISNA(AA41)=TRUE),SMALL(Y41:Z41,1),IF(AND(ISNA(Y41)=TRUE,ISNA(Z41)=TRUE,ISNA(AA41)=FALSE),AA41,IF(AND(ISNA(Y41)=TRUE,ISNA(Z41)=FALSE,ISNA(AA41)=TRUE),Z41,IF(AND(ISNA(Y41)=FALSE,ISNA(Z41)=TRUE,ISNA(AA41)=TRUE),Y41,IF(AND(ISNA(Y41)=TRUE,ISNA(Z41)=TRUE,ISNA(AA41)=TRUE),N/A,N/A))))))))</f>
        <v>#NUM!</v>
      </c>
      <c r="AF41" s="146" t="str">
        <f>IF($P41="Short-Term",VLOOKUP(Q41,'Look-Ups-Mapping'!$J$2:$K$5,2,FALSE),"")</f>
        <v/>
      </c>
      <c r="AG41" s="146" t="str">
        <f>IF($P41="Short-Term",VLOOKUP(R41,'Look-Ups-Mapping'!$M$2:$N$8,2,FALSE),"")</f>
        <v/>
      </c>
      <c r="AH41" s="146" t="str">
        <f>IF($P41="Short-Term",VLOOKUP(S41,'Look-Ups-Mapping'!$P$2:$Q$8,2,FALSE),"")</f>
        <v/>
      </c>
      <c r="AI41" s="146" t="e" cm="1">
        <f t="array" ref="AI41">IF(AND(ISNA(AF41)=FALSE,ISNA(AG41)=FALSE,ISNA(AH41)=FALSE),SMALL(AF41:AH41,1),IF(AND(ISNA(AF41)=TRUE,ISNA(AG41)=FALSE,ISNA(AH41)=FALSE),SMALL(AG41:AH41,1),IF(AND(ISNA(AF41)=FALSE,ISNA(AG41)=TRUE,ISNA(AH41)=FALSE),MIN(AF41,AH41),IF(AND(ISNA(AF41)=FALSE,ISNA(AG41)=FALSE,ISNA(AH41)=TRUE),SMALL(AF41:AG41,1),IF(AND(ISNA(AF41)=TRUE,ISNA(AG41)=TRUE,ISNA(AH41)=FALSE),AH41,IF(AND(ISNA(AF41)=TRUE,ISNA(AG41)=FALSE,ISNA(AH41)=TRUE),AG41,IF(AND(ISNA(AF41)=FALSE,ISNA(AG41)=TRUE,ISNA(AH41)=TRUE),AF41,IF(AND(ISNA(AF41)=TRUE,ISNA(AG41)=TRUE,ISNA(AH41)=TRUE),N/A,N/A))))))))</f>
        <v>#NUM!</v>
      </c>
      <c r="AK41" s="147" t="e">
        <f>VLOOKUP(V41,'Look-Ups-Mapping'!$A$29:$B$33,2,FALSE)</f>
        <v>#N/A</v>
      </c>
      <c r="AN41" s="147" t="e">
        <f>VLOOKUP(T41,'Look-Ups-Mapping'!$F$34:$G$35,2,FALSE)</f>
        <v>#N/A</v>
      </c>
      <c r="AP41" s="147" t="e">
        <f>VLOOKUP(U41,'Look-Ups-Mapping'!$F$34:$G$35,2,FALSE)</f>
        <v>#N/A</v>
      </c>
    </row>
    <row r="42" spans="2:42" x14ac:dyDescent="0.25">
      <c r="B42" s="439"/>
      <c r="C42" s="131"/>
      <c r="D42" s="34"/>
      <c r="E42" s="230"/>
      <c r="F42" s="228"/>
      <c r="G42" s="41"/>
      <c r="H42" s="457"/>
      <c r="I42" s="463"/>
      <c r="J42" s="474" t="str">
        <f t="shared" si="11"/>
        <v>N/A</v>
      </c>
      <c r="K42" s="475" t="str">
        <f t="shared" si="6"/>
        <v/>
      </c>
      <c r="L42" s="41" t="str">
        <f t="shared" si="9"/>
        <v/>
      </c>
      <c r="M42" s="41" t="str">
        <f t="shared" si="7"/>
        <v/>
      </c>
      <c r="N42" s="41" t="str">
        <f t="shared" si="10"/>
        <v/>
      </c>
      <c r="O42" s="476" t="str">
        <f t="shared" si="8"/>
        <v/>
      </c>
      <c r="P42" s="388"/>
      <c r="Q42" s="389"/>
      <c r="R42" s="390"/>
      <c r="S42" s="391"/>
      <c r="T42" s="298"/>
      <c r="U42" s="292"/>
      <c r="V42" s="392"/>
      <c r="W42" s="296"/>
      <c r="Y42" s="146" t="str">
        <f>IF(P42="Long-Term",VLOOKUP(Q42,'Look-Ups-Mapping'!$A$2:$B$23,2,FALSE),IF('Investment Analysis'!P42="Short-Term",VLOOKUP('Investment Analysis'!Q42,'Look-Ups-Mapping'!$A$2:$B$23,2,FALSE),""))</f>
        <v/>
      </c>
      <c r="Z42" s="146" t="str">
        <f>IF(P42="Long-Term",VLOOKUP(R42,'Look-Ups-Mapping'!$D$2:$E$24,2,FALSE),IF('Investment Analysis'!P42="Short-Term",VLOOKUP('Investment Analysis'!R42,'Look-Ups-Mapping'!$D$2:$E$24,2,FALSE),""))</f>
        <v/>
      </c>
      <c r="AA42" s="146" t="str">
        <f>IF(P42="Long-Term",VLOOKUP(S42,'Look-Ups-Mapping'!$G$2:$H$22,2,FALSE),IF('Investment Analysis'!P42="Short-Term",VLOOKUP('Investment Analysis'!S42,'Look-Ups-Mapping'!$G$2:$H$22,2,FALSE),""))</f>
        <v/>
      </c>
      <c r="AB42" s="146" t="e" cm="1">
        <f t="array" ref="AB42">IF(AND(ISNA(Y42)=FALSE,ISNA(Z42)=FALSE,ISNA(AA42)=FALSE),SMALL(Y42:AA42,1),IF(AND(ISNA(Y42)=TRUE,ISNA(Z42)=FALSE,ISNA(AA42)=FALSE),SMALL(Z42:AA42,1),IF(AND(ISNA(Y42)=FALSE,ISNA(Z42)=TRUE,ISNA(AA42)=FALSE),MIN(Y42,AA42),IF(AND(ISNA(Y42)=FALSE,ISNA(Z42)=FALSE,ISNA(AA42)=TRUE),SMALL(Y42:Z42,1),IF(AND(ISNA(Y42)=TRUE,ISNA(Z42)=TRUE,ISNA(AA42)=FALSE),AA42,IF(AND(ISNA(Y42)=TRUE,ISNA(Z42)=FALSE,ISNA(AA42)=TRUE),Z42,IF(AND(ISNA(Y42)=FALSE,ISNA(Z42)=TRUE,ISNA(AA42)=TRUE),Y42,IF(AND(ISNA(Y42)=TRUE,ISNA(Z42)=TRUE,ISNA(AA42)=TRUE),N/A,N/A))))))))</f>
        <v>#NUM!</v>
      </c>
      <c r="AF42" s="146" t="str">
        <f>IF($P42="Short-Term",VLOOKUP(Q42,'Look-Ups-Mapping'!$J$2:$K$5,2,FALSE),"")</f>
        <v/>
      </c>
      <c r="AG42" s="146" t="str">
        <f>IF($P42="Short-Term",VLOOKUP(R42,'Look-Ups-Mapping'!$M$2:$N$8,2,FALSE),"")</f>
        <v/>
      </c>
      <c r="AH42" s="146" t="str">
        <f>IF($P42="Short-Term",VLOOKUP(S42,'Look-Ups-Mapping'!$P$2:$Q$8,2,FALSE),"")</f>
        <v/>
      </c>
      <c r="AI42" s="146" t="e" cm="1">
        <f t="array" ref="AI42">IF(AND(ISNA(AF42)=FALSE,ISNA(AG42)=FALSE,ISNA(AH42)=FALSE),SMALL(AF42:AH42,1),IF(AND(ISNA(AF42)=TRUE,ISNA(AG42)=FALSE,ISNA(AH42)=FALSE),SMALL(AG42:AH42,1),IF(AND(ISNA(AF42)=FALSE,ISNA(AG42)=TRUE,ISNA(AH42)=FALSE),MIN(AF42,AH42),IF(AND(ISNA(AF42)=FALSE,ISNA(AG42)=FALSE,ISNA(AH42)=TRUE),SMALL(AF42:AG42,1),IF(AND(ISNA(AF42)=TRUE,ISNA(AG42)=TRUE,ISNA(AH42)=FALSE),AH42,IF(AND(ISNA(AF42)=TRUE,ISNA(AG42)=FALSE,ISNA(AH42)=TRUE),AG42,IF(AND(ISNA(AF42)=FALSE,ISNA(AG42)=TRUE,ISNA(AH42)=TRUE),AF42,IF(AND(ISNA(AF42)=TRUE,ISNA(AG42)=TRUE,ISNA(AH42)=TRUE),N/A,N/A))))))))</f>
        <v>#NUM!</v>
      </c>
      <c r="AK42" s="147" t="e">
        <f>VLOOKUP(V42,'Look-Ups-Mapping'!$A$29:$B$33,2,FALSE)</f>
        <v>#N/A</v>
      </c>
      <c r="AN42" s="147" t="e">
        <f>VLOOKUP(T42,'Look-Ups-Mapping'!$F$34:$G$35,2,FALSE)</f>
        <v>#N/A</v>
      </c>
      <c r="AP42" s="147" t="e">
        <f>VLOOKUP(U42,'Look-Ups-Mapping'!$F$34:$G$35,2,FALSE)</f>
        <v>#N/A</v>
      </c>
    </row>
    <row r="43" spans="2:42" x14ac:dyDescent="0.25">
      <c r="B43" s="439"/>
      <c r="C43" s="131"/>
      <c r="D43" s="34"/>
      <c r="E43" s="230"/>
      <c r="F43" s="228"/>
      <c r="G43" s="41"/>
      <c r="H43" s="457"/>
      <c r="I43" s="463"/>
      <c r="J43" s="474" t="str">
        <f t="shared" si="11"/>
        <v>N/A</v>
      </c>
      <c r="K43" s="475" t="str">
        <f t="shared" si="6"/>
        <v/>
      </c>
      <c r="L43" s="41" t="str">
        <f t="shared" si="9"/>
        <v/>
      </c>
      <c r="M43" s="41" t="str">
        <f t="shared" si="7"/>
        <v/>
      </c>
      <c r="N43" s="41" t="str">
        <f t="shared" si="10"/>
        <v/>
      </c>
      <c r="O43" s="476" t="str">
        <f t="shared" si="8"/>
        <v/>
      </c>
      <c r="P43" s="388"/>
      <c r="Q43" s="389"/>
      <c r="R43" s="390"/>
      <c r="S43" s="391"/>
      <c r="T43" s="298"/>
      <c r="U43" s="292"/>
      <c r="V43" s="392"/>
      <c r="W43" s="296"/>
      <c r="Y43" s="146" t="str">
        <f>IF(P43="Long-Term",VLOOKUP(Q43,'Look-Ups-Mapping'!$A$2:$B$23,2,FALSE),IF('Investment Analysis'!P43="Short-Term",VLOOKUP('Investment Analysis'!Q43,'Look-Ups-Mapping'!$A$2:$B$23,2,FALSE),""))</f>
        <v/>
      </c>
      <c r="Z43" s="146" t="str">
        <f>IF(P43="Long-Term",VLOOKUP(R43,'Look-Ups-Mapping'!$D$2:$E$24,2,FALSE),IF('Investment Analysis'!P43="Short-Term",VLOOKUP('Investment Analysis'!R43,'Look-Ups-Mapping'!$D$2:$E$24,2,FALSE),""))</f>
        <v/>
      </c>
      <c r="AA43" s="146" t="str">
        <f>IF(P43="Long-Term",VLOOKUP(S43,'Look-Ups-Mapping'!$G$2:$H$22,2,FALSE),IF('Investment Analysis'!P43="Short-Term",VLOOKUP('Investment Analysis'!S43,'Look-Ups-Mapping'!$G$2:$H$22,2,FALSE),""))</f>
        <v/>
      </c>
      <c r="AB43" s="146" t="e" cm="1">
        <f t="array" ref="AB43">IF(AND(ISNA(Y43)=FALSE,ISNA(Z43)=FALSE,ISNA(AA43)=FALSE),SMALL(Y43:AA43,1),IF(AND(ISNA(Y43)=TRUE,ISNA(Z43)=FALSE,ISNA(AA43)=FALSE),SMALL(Z43:AA43,1),IF(AND(ISNA(Y43)=FALSE,ISNA(Z43)=TRUE,ISNA(AA43)=FALSE),MIN(Y43,AA43),IF(AND(ISNA(Y43)=FALSE,ISNA(Z43)=FALSE,ISNA(AA43)=TRUE),SMALL(Y43:Z43,1),IF(AND(ISNA(Y43)=TRUE,ISNA(Z43)=TRUE,ISNA(AA43)=FALSE),AA43,IF(AND(ISNA(Y43)=TRUE,ISNA(Z43)=FALSE,ISNA(AA43)=TRUE),Z43,IF(AND(ISNA(Y43)=FALSE,ISNA(Z43)=TRUE,ISNA(AA43)=TRUE),Y43,IF(AND(ISNA(Y43)=TRUE,ISNA(Z43)=TRUE,ISNA(AA43)=TRUE),N/A,N/A))))))))</f>
        <v>#NUM!</v>
      </c>
      <c r="AF43" s="146" t="str">
        <f>IF($P43="Short-Term",VLOOKUP(Q43,'Look-Ups-Mapping'!$J$2:$K$5,2,FALSE),"")</f>
        <v/>
      </c>
      <c r="AG43" s="146" t="str">
        <f>IF($P43="Short-Term",VLOOKUP(R43,'Look-Ups-Mapping'!$M$2:$N$8,2,FALSE),"")</f>
        <v/>
      </c>
      <c r="AH43" s="146" t="str">
        <f>IF($P43="Short-Term",VLOOKUP(S43,'Look-Ups-Mapping'!$P$2:$Q$8,2,FALSE),"")</f>
        <v/>
      </c>
      <c r="AI43" s="146" t="e" cm="1">
        <f t="array" ref="AI43">IF(AND(ISNA(AF43)=FALSE,ISNA(AG43)=FALSE,ISNA(AH43)=FALSE),SMALL(AF43:AH43,1),IF(AND(ISNA(AF43)=TRUE,ISNA(AG43)=FALSE,ISNA(AH43)=FALSE),SMALL(AG43:AH43,1),IF(AND(ISNA(AF43)=FALSE,ISNA(AG43)=TRUE,ISNA(AH43)=FALSE),MIN(AF43,AH43),IF(AND(ISNA(AF43)=FALSE,ISNA(AG43)=FALSE,ISNA(AH43)=TRUE),SMALL(AF43:AG43,1),IF(AND(ISNA(AF43)=TRUE,ISNA(AG43)=TRUE,ISNA(AH43)=FALSE),AH43,IF(AND(ISNA(AF43)=TRUE,ISNA(AG43)=FALSE,ISNA(AH43)=TRUE),AG43,IF(AND(ISNA(AF43)=FALSE,ISNA(AG43)=TRUE,ISNA(AH43)=TRUE),AF43,IF(AND(ISNA(AF43)=TRUE,ISNA(AG43)=TRUE,ISNA(AH43)=TRUE),N/A,N/A))))))))</f>
        <v>#NUM!</v>
      </c>
      <c r="AK43" s="147" t="e">
        <f>VLOOKUP(V43,'Look-Ups-Mapping'!$A$29:$B$33,2,FALSE)</f>
        <v>#N/A</v>
      </c>
      <c r="AN43" s="147" t="e">
        <f>VLOOKUP(T43,'Look-Ups-Mapping'!$F$34:$G$35,2,FALSE)</f>
        <v>#N/A</v>
      </c>
      <c r="AP43" s="147" t="e">
        <f>VLOOKUP(U43,'Look-Ups-Mapping'!$F$34:$G$35,2,FALSE)</f>
        <v>#N/A</v>
      </c>
    </row>
    <row r="44" spans="2:42" x14ac:dyDescent="0.25">
      <c r="B44" s="439"/>
      <c r="C44" s="131"/>
      <c r="D44" s="34"/>
      <c r="E44" s="230"/>
      <c r="F44" s="228"/>
      <c r="G44" s="41"/>
      <c r="H44" s="457"/>
      <c r="I44" s="463"/>
      <c r="J44" s="474" t="str">
        <f t="shared" si="11"/>
        <v>N/A</v>
      </c>
      <c r="K44" s="475" t="str">
        <f t="shared" si="6"/>
        <v/>
      </c>
      <c r="L44" s="41" t="str">
        <f t="shared" si="9"/>
        <v/>
      </c>
      <c r="M44" s="41" t="str">
        <f t="shared" si="7"/>
        <v/>
      </c>
      <c r="N44" s="41" t="str">
        <f t="shared" si="10"/>
        <v/>
      </c>
      <c r="O44" s="476" t="str">
        <f t="shared" si="8"/>
        <v/>
      </c>
      <c r="P44" s="388"/>
      <c r="Q44" s="389"/>
      <c r="R44" s="390"/>
      <c r="S44" s="391"/>
      <c r="T44" s="298"/>
      <c r="U44" s="292"/>
      <c r="V44" s="392"/>
      <c r="W44" s="296"/>
      <c r="Y44" s="146" t="str">
        <f>IF(P44="Long-Term",VLOOKUP(Q44,'Look-Ups-Mapping'!$A$2:$B$23,2,FALSE),IF('Investment Analysis'!P44="Short-Term",VLOOKUP('Investment Analysis'!Q44,'Look-Ups-Mapping'!$A$2:$B$23,2,FALSE),""))</f>
        <v/>
      </c>
      <c r="Z44" s="146" t="str">
        <f>IF(P44="Long-Term",VLOOKUP(R44,'Look-Ups-Mapping'!$D$2:$E$24,2,FALSE),IF('Investment Analysis'!P44="Short-Term",VLOOKUP('Investment Analysis'!R44,'Look-Ups-Mapping'!$D$2:$E$24,2,FALSE),""))</f>
        <v/>
      </c>
      <c r="AA44" s="146" t="str">
        <f>IF(P44="Long-Term",VLOOKUP(S44,'Look-Ups-Mapping'!$G$2:$H$22,2,FALSE),IF('Investment Analysis'!P44="Short-Term",VLOOKUP('Investment Analysis'!S44,'Look-Ups-Mapping'!$G$2:$H$22,2,FALSE),""))</f>
        <v/>
      </c>
      <c r="AB44" s="146" t="e" cm="1">
        <f t="array" ref="AB44">IF(AND(ISNA(Y44)=FALSE,ISNA(Z44)=FALSE,ISNA(AA44)=FALSE),SMALL(Y44:AA44,1),IF(AND(ISNA(Y44)=TRUE,ISNA(Z44)=FALSE,ISNA(AA44)=FALSE),SMALL(Z44:AA44,1),IF(AND(ISNA(Y44)=FALSE,ISNA(Z44)=TRUE,ISNA(AA44)=FALSE),MIN(Y44,AA44),IF(AND(ISNA(Y44)=FALSE,ISNA(Z44)=FALSE,ISNA(AA44)=TRUE),SMALL(Y44:Z44,1),IF(AND(ISNA(Y44)=TRUE,ISNA(Z44)=TRUE,ISNA(AA44)=FALSE),AA44,IF(AND(ISNA(Y44)=TRUE,ISNA(Z44)=FALSE,ISNA(AA44)=TRUE),Z44,IF(AND(ISNA(Y44)=FALSE,ISNA(Z44)=TRUE,ISNA(AA44)=TRUE),Y44,IF(AND(ISNA(Y44)=TRUE,ISNA(Z44)=TRUE,ISNA(AA44)=TRUE),N/A,N/A))))))))</f>
        <v>#NUM!</v>
      </c>
      <c r="AF44" s="146" t="str">
        <f>IF($P44="Short-Term",VLOOKUP(Q44,'Look-Ups-Mapping'!$J$2:$K$5,2,FALSE),"")</f>
        <v/>
      </c>
      <c r="AG44" s="146" t="str">
        <f>IF($P44="Short-Term",VLOOKUP(R44,'Look-Ups-Mapping'!$M$2:$N$8,2,FALSE),"")</f>
        <v/>
      </c>
      <c r="AH44" s="146" t="str">
        <f>IF($P44="Short-Term",VLOOKUP(S44,'Look-Ups-Mapping'!$P$2:$Q$8,2,FALSE),"")</f>
        <v/>
      </c>
      <c r="AI44" s="146" t="e" cm="1">
        <f t="array" ref="AI44">IF(AND(ISNA(AF44)=FALSE,ISNA(AG44)=FALSE,ISNA(AH44)=FALSE),SMALL(AF44:AH44,1),IF(AND(ISNA(AF44)=TRUE,ISNA(AG44)=FALSE,ISNA(AH44)=FALSE),SMALL(AG44:AH44,1),IF(AND(ISNA(AF44)=FALSE,ISNA(AG44)=TRUE,ISNA(AH44)=FALSE),MIN(AF44,AH44),IF(AND(ISNA(AF44)=FALSE,ISNA(AG44)=FALSE,ISNA(AH44)=TRUE),SMALL(AF44:AG44,1),IF(AND(ISNA(AF44)=TRUE,ISNA(AG44)=TRUE,ISNA(AH44)=FALSE),AH44,IF(AND(ISNA(AF44)=TRUE,ISNA(AG44)=FALSE,ISNA(AH44)=TRUE),AG44,IF(AND(ISNA(AF44)=FALSE,ISNA(AG44)=TRUE,ISNA(AH44)=TRUE),AF44,IF(AND(ISNA(AF44)=TRUE,ISNA(AG44)=TRUE,ISNA(AH44)=TRUE),N/A,N/A))))))))</f>
        <v>#NUM!</v>
      </c>
      <c r="AK44" s="147" t="e">
        <f>VLOOKUP(V44,'Look-Ups-Mapping'!$A$29:$B$33,2,FALSE)</f>
        <v>#N/A</v>
      </c>
      <c r="AN44" s="147" t="e">
        <f>VLOOKUP(T44,'Look-Ups-Mapping'!$F$34:$G$35,2,FALSE)</f>
        <v>#N/A</v>
      </c>
      <c r="AP44" s="147" t="e">
        <f>VLOOKUP(U44,'Look-Ups-Mapping'!$F$34:$G$35,2,FALSE)</f>
        <v>#N/A</v>
      </c>
    </row>
    <row r="45" spans="2:42" x14ac:dyDescent="0.25">
      <c r="B45" s="439"/>
      <c r="C45" s="131"/>
      <c r="D45" s="34"/>
      <c r="E45" s="230"/>
      <c r="F45" s="228"/>
      <c r="G45" s="41"/>
      <c r="H45" s="457"/>
      <c r="I45" s="463"/>
      <c r="J45" s="474" t="str">
        <f t="shared" si="11"/>
        <v>N/A</v>
      </c>
      <c r="K45" s="475" t="str">
        <f t="shared" si="6"/>
        <v/>
      </c>
      <c r="L45" s="41" t="str">
        <f t="shared" si="9"/>
        <v/>
      </c>
      <c r="M45" s="41" t="str">
        <f t="shared" si="7"/>
        <v/>
      </c>
      <c r="N45" s="41" t="str">
        <f t="shared" si="10"/>
        <v/>
      </c>
      <c r="O45" s="476" t="str">
        <f t="shared" si="8"/>
        <v/>
      </c>
      <c r="P45" s="388"/>
      <c r="Q45" s="389"/>
      <c r="R45" s="390"/>
      <c r="S45" s="391"/>
      <c r="T45" s="298"/>
      <c r="U45" s="292"/>
      <c r="V45" s="392"/>
      <c r="W45" s="296"/>
      <c r="Y45" s="146" t="str">
        <f>IF(P45="Long-Term",VLOOKUP(Q45,'Look-Ups-Mapping'!$A$2:$B$23,2,FALSE),IF('Investment Analysis'!P45="Short-Term",VLOOKUP('Investment Analysis'!Q45,'Look-Ups-Mapping'!$A$2:$B$23,2,FALSE),""))</f>
        <v/>
      </c>
      <c r="Z45" s="146" t="str">
        <f>IF(P45="Long-Term",VLOOKUP(R45,'Look-Ups-Mapping'!$D$2:$E$24,2,FALSE),IF('Investment Analysis'!P45="Short-Term",VLOOKUP('Investment Analysis'!R45,'Look-Ups-Mapping'!$D$2:$E$24,2,FALSE),""))</f>
        <v/>
      </c>
      <c r="AA45" s="146" t="str">
        <f>IF(P45="Long-Term",VLOOKUP(S45,'Look-Ups-Mapping'!$G$2:$H$22,2,FALSE),IF('Investment Analysis'!P45="Short-Term",VLOOKUP('Investment Analysis'!S45,'Look-Ups-Mapping'!$G$2:$H$22,2,FALSE),""))</f>
        <v/>
      </c>
      <c r="AB45" s="146" t="e" cm="1">
        <f t="array" ref="AB45">IF(AND(ISNA(Y45)=FALSE,ISNA(Z45)=FALSE,ISNA(AA45)=FALSE),SMALL(Y45:AA45,1),IF(AND(ISNA(Y45)=TRUE,ISNA(Z45)=FALSE,ISNA(AA45)=FALSE),SMALL(Z45:AA45,1),IF(AND(ISNA(Y45)=FALSE,ISNA(Z45)=TRUE,ISNA(AA45)=FALSE),MIN(Y45,AA45),IF(AND(ISNA(Y45)=FALSE,ISNA(Z45)=FALSE,ISNA(AA45)=TRUE),SMALL(Y45:Z45,1),IF(AND(ISNA(Y45)=TRUE,ISNA(Z45)=TRUE,ISNA(AA45)=FALSE),AA45,IF(AND(ISNA(Y45)=TRUE,ISNA(Z45)=FALSE,ISNA(AA45)=TRUE),Z45,IF(AND(ISNA(Y45)=FALSE,ISNA(Z45)=TRUE,ISNA(AA45)=TRUE),Y45,IF(AND(ISNA(Y45)=TRUE,ISNA(Z45)=TRUE,ISNA(AA45)=TRUE),N/A,N/A))))))))</f>
        <v>#NUM!</v>
      </c>
      <c r="AF45" s="146" t="str">
        <f>IF($P45="Short-Term",VLOOKUP(Q45,'Look-Ups-Mapping'!$J$2:$K$5,2,FALSE),"")</f>
        <v/>
      </c>
      <c r="AG45" s="146" t="str">
        <f>IF($P45="Short-Term",VLOOKUP(R45,'Look-Ups-Mapping'!$M$2:$N$8,2,FALSE),"")</f>
        <v/>
      </c>
      <c r="AH45" s="146" t="str">
        <f>IF($P45="Short-Term",VLOOKUP(S45,'Look-Ups-Mapping'!$P$2:$Q$8,2,FALSE),"")</f>
        <v/>
      </c>
      <c r="AI45" s="146" t="e" cm="1">
        <f t="array" ref="AI45">IF(AND(ISNA(AF45)=FALSE,ISNA(AG45)=FALSE,ISNA(AH45)=FALSE),SMALL(AF45:AH45,1),IF(AND(ISNA(AF45)=TRUE,ISNA(AG45)=FALSE,ISNA(AH45)=FALSE),SMALL(AG45:AH45,1),IF(AND(ISNA(AF45)=FALSE,ISNA(AG45)=TRUE,ISNA(AH45)=FALSE),MIN(AF45,AH45),IF(AND(ISNA(AF45)=FALSE,ISNA(AG45)=FALSE,ISNA(AH45)=TRUE),SMALL(AF45:AG45,1),IF(AND(ISNA(AF45)=TRUE,ISNA(AG45)=TRUE,ISNA(AH45)=FALSE),AH45,IF(AND(ISNA(AF45)=TRUE,ISNA(AG45)=FALSE,ISNA(AH45)=TRUE),AG45,IF(AND(ISNA(AF45)=FALSE,ISNA(AG45)=TRUE,ISNA(AH45)=TRUE),AF45,IF(AND(ISNA(AF45)=TRUE,ISNA(AG45)=TRUE,ISNA(AH45)=TRUE),N/A,N/A))))))))</f>
        <v>#NUM!</v>
      </c>
      <c r="AK45" s="147" t="e">
        <f>VLOOKUP(V45,'Look-Ups-Mapping'!$A$29:$B$33,2,FALSE)</f>
        <v>#N/A</v>
      </c>
      <c r="AN45" s="147" t="e">
        <f>VLOOKUP(T45,'Look-Ups-Mapping'!$F$34:$G$35,2,FALSE)</f>
        <v>#N/A</v>
      </c>
      <c r="AP45" s="147" t="e">
        <f>VLOOKUP(U45,'Look-Ups-Mapping'!$F$34:$G$35,2,FALSE)</f>
        <v>#N/A</v>
      </c>
    </row>
    <row r="46" spans="2:42" x14ac:dyDescent="0.25">
      <c r="B46" s="439"/>
      <c r="C46" s="131"/>
      <c r="D46" s="34"/>
      <c r="E46" s="230"/>
      <c r="F46" s="228"/>
      <c r="G46" s="41"/>
      <c r="H46" s="457"/>
      <c r="I46" s="463"/>
      <c r="J46" s="474" t="str">
        <f t="shared" si="11"/>
        <v>N/A</v>
      </c>
      <c r="K46" s="475" t="str">
        <f t="shared" si="6"/>
        <v/>
      </c>
      <c r="L46" s="41" t="str">
        <f t="shared" si="9"/>
        <v/>
      </c>
      <c r="M46" s="41" t="str">
        <f t="shared" si="7"/>
        <v/>
      </c>
      <c r="N46" s="41" t="str">
        <f t="shared" si="10"/>
        <v/>
      </c>
      <c r="O46" s="476" t="str">
        <f t="shared" si="8"/>
        <v/>
      </c>
      <c r="P46" s="388"/>
      <c r="Q46" s="389"/>
      <c r="R46" s="390"/>
      <c r="S46" s="391"/>
      <c r="T46" s="298"/>
      <c r="U46" s="292"/>
      <c r="V46" s="392"/>
      <c r="W46" s="296"/>
      <c r="Y46" s="146" t="str">
        <f>IF(P46="Long-Term",VLOOKUP(Q46,'Look-Ups-Mapping'!$A$2:$B$23,2,FALSE),IF('Investment Analysis'!P46="Short-Term",VLOOKUP('Investment Analysis'!Q46,'Look-Ups-Mapping'!$A$2:$B$23,2,FALSE),""))</f>
        <v/>
      </c>
      <c r="Z46" s="146" t="str">
        <f>IF(P46="Long-Term",VLOOKUP(R46,'Look-Ups-Mapping'!$D$2:$E$24,2,FALSE),IF('Investment Analysis'!P46="Short-Term",VLOOKUP('Investment Analysis'!R46,'Look-Ups-Mapping'!$D$2:$E$24,2,FALSE),""))</f>
        <v/>
      </c>
      <c r="AA46" s="146" t="str">
        <f>IF(P46="Long-Term",VLOOKUP(S46,'Look-Ups-Mapping'!$G$2:$H$22,2,FALSE),IF('Investment Analysis'!P46="Short-Term",VLOOKUP('Investment Analysis'!S46,'Look-Ups-Mapping'!$G$2:$H$22,2,FALSE),""))</f>
        <v/>
      </c>
      <c r="AB46" s="146" t="e" cm="1">
        <f t="array" ref="AB46">IF(AND(ISNA(Y46)=FALSE,ISNA(Z46)=FALSE,ISNA(AA46)=FALSE),SMALL(Y46:AA46,1),IF(AND(ISNA(Y46)=TRUE,ISNA(Z46)=FALSE,ISNA(AA46)=FALSE),SMALL(Z46:AA46,1),IF(AND(ISNA(Y46)=FALSE,ISNA(Z46)=TRUE,ISNA(AA46)=FALSE),MIN(Y46,AA46),IF(AND(ISNA(Y46)=FALSE,ISNA(Z46)=FALSE,ISNA(AA46)=TRUE),SMALL(Y46:Z46,1),IF(AND(ISNA(Y46)=TRUE,ISNA(Z46)=TRUE,ISNA(AA46)=FALSE),AA46,IF(AND(ISNA(Y46)=TRUE,ISNA(Z46)=FALSE,ISNA(AA46)=TRUE),Z46,IF(AND(ISNA(Y46)=FALSE,ISNA(Z46)=TRUE,ISNA(AA46)=TRUE),Y46,IF(AND(ISNA(Y46)=TRUE,ISNA(Z46)=TRUE,ISNA(AA46)=TRUE),N/A,N/A))))))))</f>
        <v>#NUM!</v>
      </c>
      <c r="AF46" s="146" t="str">
        <f>IF($P46="Short-Term",VLOOKUP(Q46,'Look-Ups-Mapping'!$J$2:$K$5,2,FALSE),"")</f>
        <v/>
      </c>
      <c r="AG46" s="146" t="str">
        <f>IF($P46="Short-Term",VLOOKUP(R46,'Look-Ups-Mapping'!$M$2:$N$8,2,FALSE),"")</f>
        <v/>
      </c>
      <c r="AH46" s="146" t="str">
        <f>IF($P46="Short-Term",VLOOKUP(S46,'Look-Ups-Mapping'!$P$2:$Q$8,2,FALSE),"")</f>
        <v/>
      </c>
      <c r="AI46" s="146" t="e" cm="1">
        <f t="array" ref="AI46">IF(AND(ISNA(AF46)=FALSE,ISNA(AG46)=FALSE,ISNA(AH46)=FALSE),SMALL(AF46:AH46,1),IF(AND(ISNA(AF46)=TRUE,ISNA(AG46)=FALSE,ISNA(AH46)=FALSE),SMALL(AG46:AH46,1),IF(AND(ISNA(AF46)=FALSE,ISNA(AG46)=TRUE,ISNA(AH46)=FALSE),MIN(AF46,AH46),IF(AND(ISNA(AF46)=FALSE,ISNA(AG46)=FALSE,ISNA(AH46)=TRUE),SMALL(AF46:AG46,1),IF(AND(ISNA(AF46)=TRUE,ISNA(AG46)=TRUE,ISNA(AH46)=FALSE),AH46,IF(AND(ISNA(AF46)=TRUE,ISNA(AG46)=FALSE,ISNA(AH46)=TRUE),AG46,IF(AND(ISNA(AF46)=FALSE,ISNA(AG46)=TRUE,ISNA(AH46)=TRUE),AF46,IF(AND(ISNA(AF46)=TRUE,ISNA(AG46)=TRUE,ISNA(AH46)=TRUE),N/A,N/A))))))))</f>
        <v>#NUM!</v>
      </c>
      <c r="AK46" s="147" t="e">
        <f>VLOOKUP(V46,'Look-Ups-Mapping'!$A$29:$B$33,2,FALSE)</f>
        <v>#N/A</v>
      </c>
      <c r="AN46" s="147" t="e">
        <f>VLOOKUP(T46,'Look-Ups-Mapping'!$F$34:$G$35,2,FALSE)</f>
        <v>#N/A</v>
      </c>
      <c r="AP46" s="147" t="e">
        <f>VLOOKUP(U46,'Look-Ups-Mapping'!$F$34:$G$35,2,FALSE)</f>
        <v>#N/A</v>
      </c>
    </row>
    <row r="47" spans="2:42" x14ac:dyDescent="0.25">
      <c r="B47" s="439"/>
      <c r="C47" s="131"/>
      <c r="D47" s="34"/>
      <c r="E47" s="230"/>
      <c r="F47" s="228"/>
      <c r="G47" s="41"/>
      <c r="H47" s="457"/>
      <c r="I47" s="463"/>
      <c r="J47" s="474" t="str">
        <f t="shared" si="11"/>
        <v>N/A</v>
      </c>
      <c r="K47" s="475" t="str">
        <f t="shared" si="6"/>
        <v/>
      </c>
      <c r="L47" s="41" t="str">
        <f t="shared" si="9"/>
        <v/>
      </c>
      <c r="M47" s="41" t="str">
        <f t="shared" si="7"/>
        <v/>
      </c>
      <c r="N47" s="41" t="str">
        <f t="shared" si="10"/>
        <v/>
      </c>
      <c r="O47" s="476" t="str">
        <f t="shared" si="8"/>
        <v/>
      </c>
      <c r="P47" s="388"/>
      <c r="Q47" s="389"/>
      <c r="R47" s="390"/>
      <c r="S47" s="391"/>
      <c r="T47" s="298"/>
      <c r="U47" s="292"/>
      <c r="V47" s="392"/>
      <c r="W47" s="296"/>
      <c r="Y47" s="146" t="str">
        <f>IF(P47="Long-Term",VLOOKUP(Q47,'Look-Ups-Mapping'!$A$2:$B$23,2,FALSE),IF('Investment Analysis'!P47="Short-Term",VLOOKUP('Investment Analysis'!Q47,'Look-Ups-Mapping'!$A$2:$B$23,2,FALSE),""))</f>
        <v/>
      </c>
      <c r="Z47" s="146" t="str">
        <f>IF(P47="Long-Term",VLOOKUP(R47,'Look-Ups-Mapping'!$D$2:$E$24,2,FALSE),IF('Investment Analysis'!P47="Short-Term",VLOOKUP('Investment Analysis'!R47,'Look-Ups-Mapping'!$D$2:$E$24,2,FALSE),""))</f>
        <v/>
      </c>
      <c r="AA47" s="146" t="str">
        <f>IF(P47="Long-Term",VLOOKUP(S47,'Look-Ups-Mapping'!$G$2:$H$22,2,FALSE),IF('Investment Analysis'!P47="Short-Term",VLOOKUP('Investment Analysis'!S47,'Look-Ups-Mapping'!$G$2:$H$22,2,FALSE),""))</f>
        <v/>
      </c>
      <c r="AB47" s="146" t="e" cm="1">
        <f t="array" ref="AB47">IF(AND(ISNA(Y47)=FALSE,ISNA(Z47)=FALSE,ISNA(AA47)=FALSE),SMALL(Y47:AA47,1),IF(AND(ISNA(Y47)=TRUE,ISNA(Z47)=FALSE,ISNA(AA47)=FALSE),SMALL(Z47:AA47,1),IF(AND(ISNA(Y47)=FALSE,ISNA(Z47)=TRUE,ISNA(AA47)=FALSE),MIN(Y47,AA47),IF(AND(ISNA(Y47)=FALSE,ISNA(Z47)=FALSE,ISNA(AA47)=TRUE),SMALL(Y47:Z47,1),IF(AND(ISNA(Y47)=TRUE,ISNA(Z47)=TRUE,ISNA(AA47)=FALSE),AA47,IF(AND(ISNA(Y47)=TRUE,ISNA(Z47)=FALSE,ISNA(AA47)=TRUE),Z47,IF(AND(ISNA(Y47)=FALSE,ISNA(Z47)=TRUE,ISNA(AA47)=TRUE),Y47,IF(AND(ISNA(Y47)=TRUE,ISNA(Z47)=TRUE,ISNA(AA47)=TRUE),N/A,N/A))))))))</f>
        <v>#NUM!</v>
      </c>
      <c r="AF47" s="146" t="str">
        <f>IF($P47="Short-Term",VLOOKUP(Q47,'Look-Ups-Mapping'!$J$2:$K$5,2,FALSE),"")</f>
        <v/>
      </c>
      <c r="AG47" s="146" t="str">
        <f>IF($P47="Short-Term",VLOOKUP(R47,'Look-Ups-Mapping'!$M$2:$N$8,2,FALSE),"")</f>
        <v/>
      </c>
      <c r="AH47" s="146" t="str">
        <f>IF($P47="Short-Term",VLOOKUP(S47,'Look-Ups-Mapping'!$P$2:$Q$8,2,FALSE),"")</f>
        <v/>
      </c>
      <c r="AI47" s="146" t="e" cm="1">
        <f t="array" ref="AI47">IF(AND(ISNA(AF47)=FALSE,ISNA(AG47)=FALSE,ISNA(AH47)=FALSE),SMALL(AF47:AH47,1),IF(AND(ISNA(AF47)=TRUE,ISNA(AG47)=FALSE,ISNA(AH47)=FALSE),SMALL(AG47:AH47,1),IF(AND(ISNA(AF47)=FALSE,ISNA(AG47)=TRUE,ISNA(AH47)=FALSE),MIN(AF47,AH47),IF(AND(ISNA(AF47)=FALSE,ISNA(AG47)=FALSE,ISNA(AH47)=TRUE),SMALL(AF47:AG47,1),IF(AND(ISNA(AF47)=TRUE,ISNA(AG47)=TRUE,ISNA(AH47)=FALSE),AH47,IF(AND(ISNA(AF47)=TRUE,ISNA(AG47)=FALSE,ISNA(AH47)=TRUE),AG47,IF(AND(ISNA(AF47)=FALSE,ISNA(AG47)=TRUE,ISNA(AH47)=TRUE),AF47,IF(AND(ISNA(AF47)=TRUE,ISNA(AG47)=TRUE,ISNA(AH47)=TRUE),N/A,N/A))))))))</f>
        <v>#NUM!</v>
      </c>
      <c r="AK47" s="147" t="e">
        <f>VLOOKUP(V47,'Look-Ups-Mapping'!$A$29:$B$33,2,FALSE)</f>
        <v>#N/A</v>
      </c>
      <c r="AN47" s="147" t="e">
        <f>VLOOKUP(T47,'Look-Ups-Mapping'!$F$34:$G$35,2,FALSE)</f>
        <v>#N/A</v>
      </c>
      <c r="AP47" s="147" t="e">
        <f>VLOOKUP(U47,'Look-Ups-Mapping'!$F$34:$G$35,2,FALSE)</f>
        <v>#N/A</v>
      </c>
    </row>
    <row r="48" spans="2:42" x14ac:dyDescent="0.25">
      <c r="B48" s="439"/>
      <c r="C48" s="131"/>
      <c r="D48" s="34"/>
      <c r="E48" s="230"/>
      <c r="F48" s="228"/>
      <c r="G48" s="41"/>
      <c r="H48" s="457"/>
      <c r="I48" s="463"/>
      <c r="J48" s="474" t="str">
        <f t="shared" si="11"/>
        <v>N/A</v>
      </c>
      <c r="K48" s="475" t="str">
        <f t="shared" si="6"/>
        <v/>
      </c>
      <c r="L48" s="41" t="str">
        <f t="shared" si="9"/>
        <v/>
      </c>
      <c r="M48" s="41" t="str">
        <f t="shared" si="7"/>
        <v/>
      </c>
      <c r="N48" s="41" t="str">
        <f t="shared" si="10"/>
        <v/>
      </c>
      <c r="O48" s="476" t="str">
        <f t="shared" si="8"/>
        <v/>
      </c>
      <c r="P48" s="388"/>
      <c r="Q48" s="389"/>
      <c r="R48" s="390"/>
      <c r="S48" s="391"/>
      <c r="T48" s="298"/>
      <c r="U48" s="292"/>
      <c r="V48" s="392"/>
      <c r="W48" s="296"/>
      <c r="Y48" s="146" t="str">
        <f>IF(P48="Long-Term",VLOOKUP(Q48,'Look-Ups-Mapping'!$A$2:$B$23,2,FALSE),IF('Investment Analysis'!P48="Short-Term",VLOOKUP('Investment Analysis'!Q48,'Look-Ups-Mapping'!$A$2:$B$23,2,FALSE),""))</f>
        <v/>
      </c>
      <c r="Z48" s="146" t="str">
        <f>IF(P48="Long-Term",VLOOKUP(R48,'Look-Ups-Mapping'!$D$2:$E$24,2,FALSE),IF('Investment Analysis'!P48="Short-Term",VLOOKUP('Investment Analysis'!R48,'Look-Ups-Mapping'!$D$2:$E$24,2,FALSE),""))</f>
        <v/>
      </c>
      <c r="AA48" s="146" t="str">
        <f>IF(P48="Long-Term",VLOOKUP(S48,'Look-Ups-Mapping'!$G$2:$H$22,2,FALSE),IF('Investment Analysis'!P48="Short-Term",VLOOKUP('Investment Analysis'!S48,'Look-Ups-Mapping'!$G$2:$H$22,2,FALSE),""))</f>
        <v/>
      </c>
      <c r="AB48" s="146" t="e" cm="1">
        <f t="array" ref="AB48">IF(AND(ISNA(Y48)=FALSE,ISNA(Z48)=FALSE,ISNA(AA48)=FALSE),SMALL(Y48:AA48,1),IF(AND(ISNA(Y48)=TRUE,ISNA(Z48)=FALSE,ISNA(AA48)=FALSE),SMALL(Z48:AA48,1),IF(AND(ISNA(Y48)=FALSE,ISNA(Z48)=TRUE,ISNA(AA48)=FALSE),MIN(Y48,AA48),IF(AND(ISNA(Y48)=FALSE,ISNA(Z48)=FALSE,ISNA(AA48)=TRUE),SMALL(Y48:Z48,1),IF(AND(ISNA(Y48)=TRUE,ISNA(Z48)=TRUE,ISNA(AA48)=FALSE),AA48,IF(AND(ISNA(Y48)=TRUE,ISNA(Z48)=FALSE,ISNA(AA48)=TRUE),Z48,IF(AND(ISNA(Y48)=FALSE,ISNA(Z48)=TRUE,ISNA(AA48)=TRUE),Y48,IF(AND(ISNA(Y48)=TRUE,ISNA(Z48)=TRUE,ISNA(AA48)=TRUE),N/A,N/A))))))))</f>
        <v>#NUM!</v>
      </c>
      <c r="AF48" s="146" t="str">
        <f>IF($P48="Short-Term",VLOOKUP(Q48,'Look-Ups-Mapping'!$J$2:$K$5,2,FALSE),"")</f>
        <v/>
      </c>
      <c r="AG48" s="146" t="str">
        <f>IF($P48="Short-Term",VLOOKUP(R48,'Look-Ups-Mapping'!$M$2:$N$8,2,FALSE),"")</f>
        <v/>
      </c>
      <c r="AH48" s="146" t="str">
        <f>IF($P48="Short-Term",VLOOKUP(S48,'Look-Ups-Mapping'!$P$2:$Q$8,2,FALSE),"")</f>
        <v/>
      </c>
      <c r="AI48" s="146" t="e" cm="1">
        <f t="array" ref="AI48">IF(AND(ISNA(AF48)=FALSE,ISNA(AG48)=FALSE,ISNA(AH48)=FALSE),SMALL(AF48:AH48,1),IF(AND(ISNA(AF48)=TRUE,ISNA(AG48)=FALSE,ISNA(AH48)=FALSE),SMALL(AG48:AH48,1),IF(AND(ISNA(AF48)=FALSE,ISNA(AG48)=TRUE,ISNA(AH48)=FALSE),MIN(AF48,AH48),IF(AND(ISNA(AF48)=FALSE,ISNA(AG48)=FALSE,ISNA(AH48)=TRUE),SMALL(AF48:AG48,1),IF(AND(ISNA(AF48)=TRUE,ISNA(AG48)=TRUE,ISNA(AH48)=FALSE),AH48,IF(AND(ISNA(AF48)=TRUE,ISNA(AG48)=FALSE,ISNA(AH48)=TRUE),AG48,IF(AND(ISNA(AF48)=FALSE,ISNA(AG48)=TRUE,ISNA(AH48)=TRUE),AF48,IF(AND(ISNA(AF48)=TRUE,ISNA(AG48)=TRUE,ISNA(AH48)=TRUE),N/A,N/A))))))))</f>
        <v>#NUM!</v>
      </c>
      <c r="AK48" s="147" t="e">
        <f>VLOOKUP(V48,'Look-Ups-Mapping'!$A$29:$B$33,2,FALSE)</f>
        <v>#N/A</v>
      </c>
      <c r="AN48" s="147" t="e">
        <f>VLOOKUP(T48,'Look-Ups-Mapping'!$F$34:$G$35,2,FALSE)</f>
        <v>#N/A</v>
      </c>
      <c r="AP48" s="147" t="e">
        <f>VLOOKUP(U48,'Look-Ups-Mapping'!$F$34:$G$35,2,FALSE)</f>
        <v>#N/A</v>
      </c>
    </row>
    <row r="49" spans="2:42" x14ac:dyDescent="0.25">
      <c r="B49" s="439"/>
      <c r="C49" s="131"/>
      <c r="D49" s="34"/>
      <c r="E49" s="230"/>
      <c r="F49" s="228"/>
      <c r="G49" s="41"/>
      <c r="H49" s="457"/>
      <c r="I49" s="463"/>
      <c r="J49" s="474" t="str">
        <f t="shared" si="11"/>
        <v>N/A</v>
      </c>
      <c r="K49" s="475" t="str">
        <f t="shared" si="6"/>
        <v/>
      </c>
      <c r="L49" s="41" t="str">
        <f t="shared" si="9"/>
        <v/>
      </c>
      <c r="M49" s="41" t="str">
        <f t="shared" si="7"/>
        <v/>
      </c>
      <c r="N49" s="41" t="str">
        <f t="shared" si="10"/>
        <v/>
      </c>
      <c r="O49" s="476" t="str">
        <f t="shared" si="8"/>
        <v/>
      </c>
      <c r="P49" s="388"/>
      <c r="Q49" s="389"/>
      <c r="R49" s="390"/>
      <c r="S49" s="391"/>
      <c r="T49" s="298"/>
      <c r="U49" s="292"/>
      <c r="V49" s="392"/>
      <c r="W49" s="296"/>
      <c r="Y49" s="146" t="str">
        <f>IF(P49="Long-Term",VLOOKUP(Q49,'Look-Ups-Mapping'!$A$2:$B$23,2,FALSE),IF('Investment Analysis'!P49="Short-Term",VLOOKUP('Investment Analysis'!Q49,'Look-Ups-Mapping'!$A$2:$B$23,2,FALSE),""))</f>
        <v/>
      </c>
      <c r="Z49" s="146" t="str">
        <f>IF(P49="Long-Term",VLOOKUP(R49,'Look-Ups-Mapping'!$D$2:$E$24,2,FALSE),IF('Investment Analysis'!P49="Short-Term",VLOOKUP('Investment Analysis'!R49,'Look-Ups-Mapping'!$D$2:$E$24,2,FALSE),""))</f>
        <v/>
      </c>
      <c r="AA49" s="146" t="str">
        <f>IF(P49="Long-Term",VLOOKUP(S49,'Look-Ups-Mapping'!$G$2:$H$22,2,FALSE),IF('Investment Analysis'!P49="Short-Term",VLOOKUP('Investment Analysis'!S49,'Look-Ups-Mapping'!$G$2:$H$22,2,FALSE),""))</f>
        <v/>
      </c>
      <c r="AB49" s="146" t="e" cm="1">
        <f t="array" ref="AB49">IF(AND(ISNA(Y49)=FALSE,ISNA(Z49)=FALSE,ISNA(AA49)=FALSE),SMALL(Y49:AA49,1),IF(AND(ISNA(Y49)=TRUE,ISNA(Z49)=FALSE,ISNA(AA49)=FALSE),SMALL(Z49:AA49,1),IF(AND(ISNA(Y49)=FALSE,ISNA(Z49)=TRUE,ISNA(AA49)=FALSE),MIN(Y49,AA49),IF(AND(ISNA(Y49)=FALSE,ISNA(Z49)=FALSE,ISNA(AA49)=TRUE),SMALL(Y49:Z49,1),IF(AND(ISNA(Y49)=TRUE,ISNA(Z49)=TRUE,ISNA(AA49)=FALSE),AA49,IF(AND(ISNA(Y49)=TRUE,ISNA(Z49)=FALSE,ISNA(AA49)=TRUE),Z49,IF(AND(ISNA(Y49)=FALSE,ISNA(Z49)=TRUE,ISNA(AA49)=TRUE),Y49,IF(AND(ISNA(Y49)=TRUE,ISNA(Z49)=TRUE,ISNA(AA49)=TRUE),N/A,N/A))))))))</f>
        <v>#NUM!</v>
      </c>
      <c r="AF49" s="146" t="str">
        <f>IF($P49="Short-Term",VLOOKUP(Q49,'Look-Ups-Mapping'!$J$2:$K$5,2,FALSE),"")</f>
        <v/>
      </c>
      <c r="AG49" s="146" t="str">
        <f>IF($P49="Short-Term",VLOOKUP(R49,'Look-Ups-Mapping'!$M$2:$N$8,2,FALSE),"")</f>
        <v/>
      </c>
      <c r="AH49" s="146" t="str">
        <f>IF($P49="Short-Term",VLOOKUP(S49,'Look-Ups-Mapping'!$P$2:$Q$8,2,FALSE),"")</f>
        <v/>
      </c>
      <c r="AI49" s="146" t="e" cm="1">
        <f t="array" ref="AI49">IF(AND(ISNA(AF49)=FALSE,ISNA(AG49)=FALSE,ISNA(AH49)=FALSE),SMALL(AF49:AH49,1),IF(AND(ISNA(AF49)=TRUE,ISNA(AG49)=FALSE,ISNA(AH49)=FALSE),SMALL(AG49:AH49,1),IF(AND(ISNA(AF49)=FALSE,ISNA(AG49)=TRUE,ISNA(AH49)=FALSE),MIN(AF49,AH49),IF(AND(ISNA(AF49)=FALSE,ISNA(AG49)=FALSE,ISNA(AH49)=TRUE),SMALL(AF49:AG49,1),IF(AND(ISNA(AF49)=TRUE,ISNA(AG49)=TRUE,ISNA(AH49)=FALSE),AH49,IF(AND(ISNA(AF49)=TRUE,ISNA(AG49)=FALSE,ISNA(AH49)=TRUE),AG49,IF(AND(ISNA(AF49)=FALSE,ISNA(AG49)=TRUE,ISNA(AH49)=TRUE),AF49,IF(AND(ISNA(AF49)=TRUE,ISNA(AG49)=TRUE,ISNA(AH49)=TRUE),N/A,N/A))))))))</f>
        <v>#NUM!</v>
      </c>
      <c r="AK49" s="147" t="e">
        <f>VLOOKUP(V49,'Look-Ups-Mapping'!$A$29:$B$33,2,FALSE)</f>
        <v>#N/A</v>
      </c>
      <c r="AN49" s="147" t="e">
        <f>VLOOKUP(T49,'Look-Ups-Mapping'!$F$34:$G$35,2,FALSE)</f>
        <v>#N/A</v>
      </c>
      <c r="AP49" s="147" t="e">
        <f>VLOOKUP(U49,'Look-Ups-Mapping'!$F$34:$G$35,2,FALSE)</f>
        <v>#N/A</v>
      </c>
    </row>
    <row r="50" spans="2:42" x14ac:dyDescent="0.25">
      <c r="B50" s="439"/>
      <c r="C50" s="131"/>
      <c r="D50" s="34"/>
      <c r="E50" s="230"/>
      <c r="F50" s="228"/>
      <c r="G50" s="41"/>
      <c r="H50" s="457"/>
      <c r="I50" s="463"/>
      <c r="J50" s="474" t="str">
        <f t="shared" si="11"/>
        <v>N/A</v>
      </c>
      <c r="K50" s="475" t="str">
        <f t="shared" si="6"/>
        <v/>
      </c>
      <c r="L50" s="41" t="str">
        <f t="shared" si="9"/>
        <v/>
      </c>
      <c r="M50" s="41" t="str">
        <f t="shared" si="7"/>
        <v/>
      </c>
      <c r="N50" s="41" t="str">
        <f t="shared" si="10"/>
        <v/>
      </c>
      <c r="O50" s="476" t="str">
        <f t="shared" si="8"/>
        <v/>
      </c>
      <c r="P50" s="388"/>
      <c r="Q50" s="389"/>
      <c r="R50" s="390"/>
      <c r="S50" s="391"/>
      <c r="T50" s="298"/>
      <c r="U50" s="292"/>
      <c r="V50" s="392"/>
      <c r="W50" s="296"/>
      <c r="Y50" s="146" t="str">
        <f>IF(P50="Long-Term",VLOOKUP(Q50,'Look-Ups-Mapping'!$A$2:$B$23,2,FALSE),IF('Investment Analysis'!P50="Short-Term",VLOOKUP('Investment Analysis'!Q50,'Look-Ups-Mapping'!$A$2:$B$23,2,FALSE),""))</f>
        <v/>
      </c>
      <c r="Z50" s="146" t="str">
        <f>IF(P50="Long-Term",VLOOKUP(R50,'Look-Ups-Mapping'!$D$2:$E$24,2,FALSE),IF('Investment Analysis'!P50="Short-Term",VLOOKUP('Investment Analysis'!R50,'Look-Ups-Mapping'!$D$2:$E$24,2,FALSE),""))</f>
        <v/>
      </c>
      <c r="AA50" s="146" t="str">
        <f>IF(P50="Long-Term",VLOOKUP(S50,'Look-Ups-Mapping'!$G$2:$H$22,2,FALSE),IF('Investment Analysis'!P50="Short-Term",VLOOKUP('Investment Analysis'!S50,'Look-Ups-Mapping'!$G$2:$H$22,2,FALSE),""))</f>
        <v/>
      </c>
      <c r="AB50" s="146" t="e" cm="1">
        <f t="array" ref="AB50">IF(AND(ISNA(Y50)=FALSE,ISNA(Z50)=FALSE,ISNA(AA50)=FALSE),SMALL(Y50:AA50,1),IF(AND(ISNA(Y50)=TRUE,ISNA(Z50)=FALSE,ISNA(AA50)=FALSE),SMALL(Z50:AA50,1),IF(AND(ISNA(Y50)=FALSE,ISNA(Z50)=TRUE,ISNA(AA50)=FALSE),MIN(Y50,AA50),IF(AND(ISNA(Y50)=FALSE,ISNA(Z50)=FALSE,ISNA(AA50)=TRUE),SMALL(Y50:Z50,1),IF(AND(ISNA(Y50)=TRUE,ISNA(Z50)=TRUE,ISNA(AA50)=FALSE),AA50,IF(AND(ISNA(Y50)=TRUE,ISNA(Z50)=FALSE,ISNA(AA50)=TRUE),Z50,IF(AND(ISNA(Y50)=FALSE,ISNA(Z50)=TRUE,ISNA(AA50)=TRUE),Y50,IF(AND(ISNA(Y50)=TRUE,ISNA(Z50)=TRUE,ISNA(AA50)=TRUE),N/A,N/A))))))))</f>
        <v>#NUM!</v>
      </c>
      <c r="AF50" s="146" t="str">
        <f>IF($P50="Short-Term",VLOOKUP(Q50,'Look-Ups-Mapping'!$J$2:$K$5,2,FALSE),"")</f>
        <v/>
      </c>
      <c r="AG50" s="146" t="str">
        <f>IF($P50="Short-Term",VLOOKUP(R50,'Look-Ups-Mapping'!$M$2:$N$8,2,FALSE),"")</f>
        <v/>
      </c>
      <c r="AH50" s="146" t="str">
        <f>IF($P50="Short-Term",VLOOKUP(S50,'Look-Ups-Mapping'!$P$2:$Q$8,2,FALSE),"")</f>
        <v/>
      </c>
      <c r="AI50" s="146" t="e" cm="1">
        <f t="array" ref="AI50">IF(AND(ISNA(AF50)=FALSE,ISNA(AG50)=FALSE,ISNA(AH50)=FALSE),SMALL(AF50:AH50,1),IF(AND(ISNA(AF50)=TRUE,ISNA(AG50)=FALSE,ISNA(AH50)=FALSE),SMALL(AG50:AH50,1),IF(AND(ISNA(AF50)=FALSE,ISNA(AG50)=TRUE,ISNA(AH50)=FALSE),MIN(AF50,AH50),IF(AND(ISNA(AF50)=FALSE,ISNA(AG50)=FALSE,ISNA(AH50)=TRUE),SMALL(AF50:AG50,1),IF(AND(ISNA(AF50)=TRUE,ISNA(AG50)=TRUE,ISNA(AH50)=FALSE),AH50,IF(AND(ISNA(AF50)=TRUE,ISNA(AG50)=FALSE,ISNA(AH50)=TRUE),AG50,IF(AND(ISNA(AF50)=FALSE,ISNA(AG50)=TRUE,ISNA(AH50)=TRUE),AF50,IF(AND(ISNA(AF50)=TRUE,ISNA(AG50)=TRUE,ISNA(AH50)=TRUE),N/A,N/A))))))))</f>
        <v>#NUM!</v>
      </c>
      <c r="AK50" s="147" t="e">
        <f>VLOOKUP(V50,'Look-Ups-Mapping'!$A$29:$B$33,2,FALSE)</f>
        <v>#N/A</v>
      </c>
      <c r="AN50" s="147" t="e">
        <f>VLOOKUP(T50,'Look-Ups-Mapping'!$F$34:$G$35,2,FALSE)</f>
        <v>#N/A</v>
      </c>
      <c r="AP50" s="147" t="e">
        <f>VLOOKUP(U50,'Look-Ups-Mapping'!$F$34:$G$35,2,FALSE)</f>
        <v>#N/A</v>
      </c>
    </row>
    <row r="51" spans="2:42" x14ac:dyDescent="0.25">
      <c r="B51" s="439"/>
      <c r="C51" s="131"/>
      <c r="D51" s="34"/>
      <c r="E51" s="230"/>
      <c r="F51" s="228"/>
      <c r="G51" s="41"/>
      <c r="H51" s="457"/>
      <c r="I51" s="463"/>
      <c r="J51" s="474" t="str">
        <f t="shared" si="11"/>
        <v>N/A</v>
      </c>
      <c r="K51" s="475" t="str">
        <f t="shared" si="6"/>
        <v/>
      </c>
      <c r="L51" s="41" t="str">
        <f t="shared" si="9"/>
        <v/>
      </c>
      <c r="M51" s="41" t="str">
        <f t="shared" si="7"/>
        <v/>
      </c>
      <c r="N51" s="41" t="str">
        <f t="shared" si="10"/>
        <v/>
      </c>
      <c r="O51" s="476" t="str">
        <f t="shared" si="8"/>
        <v/>
      </c>
      <c r="P51" s="388"/>
      <c r="Q51" s="389"/>
      <c r="R51" s="390"/>
      <c r="S51" s="391"/>
      <c r="T51" s="298"/>
      <c r="U51" s="292"/>
      <c r="V51" s="392"/>
      <c r="W51" s="296"/>
      <c r="Y51" s="146" t="str">
        <f>IF(P51="Long-Term",VLOOKUP(Q51,'Look-Ups-Mapping'!$A$2:$B$23,2,FALSE),IF('Investment Analysis'!P51="Short-Term",VLOOKUP('Investment Analysis'!Q51,'Look-Ups-Mapping'!$A$2:$B$23,2,FALSE),""))</f>
        <v/>
      </c>
      <c r="Z51" s="146" t="str">
        <f>IF(P51="Long-Term",VLOOKUP(R51,'Look-Ups-Mapping'!$D$2:$E$24,2,FALSE),IF('Investment Analysis'!P51="Short-Term",VLOOKUP('Investment Analysis'!R51,'Look-Ups-Mapping'!$D$2:$E$24,2,FALSE),""))</f>
        <v/>
      </c>
      <c r="AA51" s="146" t="str">
        <f>IF(P51="Long-Term",VLOOKUP(S51,'Look-Ups-Mapping'!$G$2:$H$22,2,FALSE),IF('Investment Analysis'!P51="Short-Term",VLOOKUP('Investment Analysis'!S51,'Look-Ups-Mapping'!$G$2:$H$22,2,FALSE),""))</f>
        <v/>
      </c>
      <c r="AB51" s="146" t="e" cm="1">
        <f t="array" ref="AB51">IF(AND(ISNA(Y51)=FALSE,ISNA(Z51)=FALSE,ISNA(AA51)=FALSE),SMALL(Y51:AA51,1),IF(AND(ISNA(Y51)=TRUE,ISNA(Z51)=FALSE,ISNA(AA51)=FALSE),SMALL(Z51:AA51,1),IF(AND(ISNA(Y51)=FALSE,ISNA(Z51)=TRUE,ISNA(AA51)=FALSE),MIN(Y51,AA51),IF(AND(ISNA(Y51)=FALSE,ISNA(Z51)=FALSE,ISNA(AA51)=TRUE),SMALL(Y51:Z51,1),IF(AND(ISNA(Y51)=TRUE,ISNA(Z51)=TRUE,ISNA(AA51)=FALSE),AA51,IF(AND(ISNA(Y51)=TRUE,ISNA(Z51)=FALSE,ISNA(AA51)=TRUE),Z51,IF(AND(ISNA(Y51)=FALSE,ISNA(Z51)=TRUE,ISNA(AA51)=TRUE),Y51,IF(AND(ISNA(Y51)=TRUE,ISNA(Z51)=TRUE,ISNA(AA51)=TRUE),N/A,N/A))))))))</f>
        <v>#NUM!</v>
      </c>
      <c r="AF51" s="146" t="str">
        <f>IF($P51="Short-Term",VLOOKUP(Q51,'Look-Ups-Mapping'!$J$2:$K$5,2,FALSE),"")</f>
        <v/>
      </c>
      <c r="AG51" s="146" t="str">
        <f>IF($P51="Short-Term",VLOOKUP(R51,'Look-Ups-Mapping'!$M$2:$N$8,2,FALSE),"")</f>
        <v/>
      </c>
      <c r="AH51" s="146" t="str">
        <f>IF($P51="Short-Term",VLOOKUP(S51,'Look-Ups-Mapping'!$P$2:$Q$8,2,FALSE),"")</f>
        <v/>
      </c>
      <c r="AI51" s="146" t="e" cm="1">
        <f t="array" ref="AI51">IF(AND(ISNA(AF51)=FALSE,ISNA(AG51)=FALSE,ISNA(AH51)=FALSE),SMALL(AF51:AH51,1),IF(AND(ISNA(AF51)=TRUE,ISNA(AG51)=FALSE,ISNA(AH51)=FALSE),SMALL(AG51:AH51,1),IF(AND(ISNA(AF51)=FALSE,ISNA(AG51)=TRUE,ISNA(AH51)=FALSE),MIN(AF51,AH51),IF(AND(ISNA(AF51)=FALSE,ISNA(AG51)=FALSE,ISNA(AH51)=TRUE),SMALL(AF51:AG51,1),IF(AND(ISNA(AF51)=TRUE,ISNA(AG51)=TRUE,ISNA(AH51)=FALSE),AH51,IF(AND(ISNA(AF51)=TRUE,ISNA(AG51)=FALSE,ISNA(AH51)=TRUE),AG51,IF(AND(ISNA(AF51)=FALSE,ISNA(AG51)=TRUE,ISNA(AH51)=TRUE),AF51,IF(AND(ISNA(AF51)=TRUE,ISNA(AG51)=TRUE,ISNA(AH51)=TRUE),N/A,N/A))))))))</f>
        <v>#NUM!</v>
      </c>
      <c r="AK51" s="147" t="e">
        <f>VLOOKUP(V51,'Look-Ups-Mapping'!$A$29:$B$33,2,FALSE)</f>
        <v>#N/A</v>
      </c>
      <c r="AN51" s="147" t="e">
        <f>VLOOKUP(T51,'Look-Ups-Mapping'!$F$34:$G$35,2,FALSE)</f>
        <v>#N/A</v>
      </c>
      <c r="AP51" s="147" t="e">
        <f>VLOOKUP(U51,'Look-Ups-Mapping'!$F$34:$G$35,2,FALSE)</f>
        <v>#N/A</v>
      </c>
    </row>
    <row r="52" spans="2:42" x14ac:dyDescent="0.25">
      <c r="B52" s="439"/>
      <c r="C52" s="131"/>
      <c r="D52" s="34"/>
      <c r="E52" s="230"/>
      <c r="F52" s="228"/>
      <c r="G52" s="41"/>
      <c r="H52" s="457"/>
      <c r="I52" s="463"/>
      <c r="J52" s="474" t="str">
        <f t="shared" si="11"/>
        <v>N/A</v>
      </c>
      <c r="K52" s="475" t="str">
        <f t="shared" si="6"/>
        <v/>
      </c>
      <c r="L52" s="41" t="str">
        <f t="shared" si="9"/>
        <v/>
      </c>
      <c r="M52" s="41" t="str">
        <f t="shared" si="7"/>
        <v/>
      </c>
      <c r="N52" s="41" t="str">
        <f t="shared" si="10"/>
        <v/>
      </c>
      <c r="O52" s="476" t="str">
        <f t="shared" si="8"/>
        <v/>
      </c>
      <c r="P52" s="388"/>
      <c r="Q52" s="389"/>
      <c r="R52" s="390"/>
      <c r="S52" s="391"/>
      <c r="T52" s="298"/>
      <c r="U52" s="292"/>
      <c r="V52" s="392"/>
      <c r="W52" s="296"/>
      <c r="Y52" s="146" t="str">
        <f>IF(P52="Long-Term",VLOOKUP(Q52,'Look-Ups-Mapping'!$A$2:$B$23,2,FALSE),IF('Investment Analysis'!P52="Short-Term",VLOOKUP('Investment Analysis'!Q52,'Look-Ups-Mapping'!$A$2:$B$23,2,FALSE),""))</f>
        <v/>
      </c>
      <c r="Z52" s="146" t="str">
        <f>IF(P52="Long-Term",VLOOKUP(R52,'Look-Ups-Mapping'!$D$2:$E$24,2,FALSE),IF('Investment Analysis'!P52="Short-Term",VLOOKUP('Investment Analysis'!R52,'Look-Ups-Mapping'!$D$2:$E$24,2,FALSE),""))</f>
        <v/>
      </c>
      <c r="AA52" s="146" t="str">
        <f>IF(P52="Long-Term",VLOOKUP(S52,'Look-Ups-Mapping'!$G$2:$H$22,2,FALSE),IF('Investment Analysis'!P52="Short-Term",VLOOKUP('Investment Analysis'!S52,'Look-Ups-Mapping'!$G$2:$H$22,2,FALSE),""))</f>
        <v/>
      </c>
      <c r="AB52" s="146" t="e" cm="1">
        <f t="array" ref="AB52">IF(AND(ISNA(Y52)=FALSE,ISNA(Z52)=FALSE,ISNA(AA52)=FALSE),SMALL(Y52:AA52,1),IF(AND(ISNA(Y52)=TRUE,ISNA(Z52)=FALSE,ISNA(AA52)=FALSE),SMALL(Z52:AA52,1),IF(AND(ISNA(Y52)=FALSE,ISNA(Z52)=TRUE,ISNA(AA52)=FALSE),MIN(Y52,AA52),IF(AND(ISNA(Y52)=FALSE,ISNA(Z52)=FALSE,ISNA(AA52)=TRUE),SMALL(Y52:Z52,1),IF(AND(ISNA(Y52)=TRUE,ISNA(Z52)=TRUE,ISNA(AA52)=FALSE),AA52,IF(AND(ISNA(Y52)=TRUE,ISNA(Z52)=FALSE,ISNA(AA52)=TRUE),Z52,IF(AND(ISNA(Y52)=FALSE,ISNA(Z52)=TRUE,ISNA(AA52)=TRUE),Y52,IF(AND(ISNA(Y52)=TRUE,ISNA(Z52)=TRUE,ISNA(AA52)=TRUE),N/A,N/A))))))))</f>
        <v>#NUM!</v>
      </c>
      <c r="AF52" s="146" t="str">
        <f>IF($P52="Short-Term",VLOOKUP(Q52,'Look-Ups-Mapping'!$J$2:$K$5,2,FALSE),"")</f>
        <v/>
      </c>
      <c r="AG52" s="146" t="str">
        <f>IF($P52="Short-Term",VLOOKUP(R52,'Look-Ups-Mapping'!$M$2:$N$8,2,FALSE),"")</f>
        <v/>
      </c>
      <c r="AH52" s="146" t="str">
        <f>IF($P52="Short-Term",VLOOKUP(S52,'Look-Ups-Mapping'!$P$2:$Q$8,2,FALSE),"")</f>
        <v/>
      </c>
      <c r="AI52" s="146" t="e" cm="1">
        <f t="array" ref="AI52">IF(AND(ISNA(AF52)=FALSE,ISNA(AG52)=FALSE,ISNA(AH52)=FALSE),SMALL(AF52:AH52,1),IF(AND(ISNA(AF52)=TRUE,ISNA(AG52)=FALSE,ISNA(AH52)=FALSE),SMALL(AG52:AH52,1),IF(AND(ISNA(AF52)=FALSE,ISNA(AG52)=TRUE,ISNA(AH52)=FALSE),MIN(AF52,AH52),IF(AND(ISNA(AF52)=FALSE,ISNA(AG52)=FALSE,ISNA(AH52)=TRUE),SMALL(AF52:AG52,1),IF(AND(ISNA(AF52)=TRUE,ISNA(AG52)=TRUE,ISNA(AH52)=FALSE),AH52,IF(AND(ISNA(AF52)=TRUE,ISNA(AG52)=FALSE,ISNA(AH52)=TRUE),AG52,IF(AND(ISNA(AF52)=FALSE,ISNA(AG52)=TRUE,ISNA(AH52)=TRUE),AF52,IF(AND(ISNA(AF52)=TRUE,ISNA(AG52)=TRUE,ISNA(AH52)=TRUE),N/A,N/A))))))))</f>
        <v>#NUM!</v>
      </c>
      <c r="AK52" s="147" t="e">
        <f>VLOOKUP(V52,'Look-Ups-Mapping'!$A$29:$B$33,2,FALSE)</f>
        <v>#N/A</v>
      </c>
      <c r="AN52" s="147" t="e">
        <f>VLOOKUP(T52,'Look-Ups-Mapping'!$F$34:$G$35,2,FALSE)</f>
        <v>#N/A</v>
      </c>
      <c r="AP52" s="147" t="e">
        <f>VLOOKUP(U52,'Look-Ups-Mapping'!$F$34:$G$35,2,FALSE)</f>
        <v>#N/A</v>
      </c>
    </row>
    <row r="53" spans="2:42" x14ac:dyDescent="0.25">
      <c r="B53" s="439"/>
      <c r="C53" s="131"/>
      <c r="D53" s="34"/>
      <c r="E53" s="230"/>
      <c r="F53" s="228"/>
      <c r="G53" s="41"/>
      <c r="H53" s="457"/>
      <c r="I53" s="463"/>
      <c r="J53" s="474" t="str">
        <f t="shared" si="11"/>
        <v>N/A</v>
      </c>
      <c r="K53" s="475" t="str">
        <f t="shared" si="6"/>
        <v/>
      </c>
      <c r="L53" s="41" t="str">
        <f t="shared" si="9"/>
        <v/>
      </c>
      <c r="M53" s="41" t="str">
        <f t="shared" si="7"/>
        <v/>
      </c>
      <c r="N53" s="41" t="str">
        <f t="shared" si="10"/>
        <v/>
      </c>
      <c r="O53" s="476" t="str">
        <f t="shared" si="8"/>
        <v/>
      </c>
      <c r="P53" s="388"/>
      <c r="Q53" s="389"/>
      <c r="R53" s="390"/>
      <c r="S53" s="391"/>
      <c r="T53" s="298"/>
      <c r="U53" s="292"/>
      <c r="V53" s="392"/>
      <c r="W53" s="296"/>
      <c r="Y53" s="146" t="str">
        <f>IF(P53="Long-Term",VLOOKUP(Q53,'Look-Ups-Mapping'!$A$2:$B$23,2,FALSE),IF('Investment Analysis'!P53="Short-Term",VLOOKUP('Investment Analysis'!Q53,'Look-Ups-Mapping'!$A$2:$B$23,2,FALSE),""))</f>
        <v/>
      </c>
      <c r="Z53" s="146" t="str">
        <f>IF(P53="Long-Term",VLOOKUP(R53,'Look-Ups-Mapping'!$D$2:$E$24,2,FALSE),IF('Investment Analysis'!P53="Short-Term",VLOOKUP('Investment Analysis'!R53,'Look-Ups-Mapping'!$D$2:$E$24,2,FALSE),""))</f>
        <v/>
      </c>
      <c r="AA53" s="146" t="str">
        <f>IF(P53="Long-Term",VLOOKUP(S53,'Look-Ups-Mapping'!$G$2:$H$22,2,FALSE),IF('Investment Analysis'!P53="Short-Term",VLOOKUP('Investment Analysis'!S53,'Look-Ups-Mapping'!$G$2:$H$22,2,FALSE),""))</f>
        <v/>
      </c>
      <c r="AB53" s="146" t="e" cm="1">
        <f t="array" ref="AB53">IF(AND(ISNA(Y53)=FALSE,ISNA(Z53)=FALSE,ISNA(AA53)=FALSE),SMALL(Y53:AA53,1),IF(AND(ISNA(Y53)=TRUE,ISNA(Z53)=FALSE,ISNA(AA53)=FALSE),SMALL(Z53:AA53,1),IF(AND(ISNA(Y53)=FALSE,ISNA(Z53)=TRUE,ISNA(AA53)=FALSE),MIN(Y53,AA53),IF(AND(ISNA(Y53)=FALSE,ISNA(Z53)=FALSE,ISNA(AA53)=TRUE),SMALL(Y53:Z53,1),IF(AND(ISNA(Y53)=TRUE,ISNA(Z53)=TRUE,ISNA(AA53)=FALSE),AA53,IF(AND(ISNA(Y53)=TRUE,ISNA(Z53)=FALSE,ISNA(AA53)=TRUE),Z53,IF(AND(ISNA(Y53)=FALSE,ISNA(Z53)=TRUE,ISNA(AA53)=TRUE),Y53,IF(AND(ISNA(Y53)=TRUE,ISNA(Z53)=TRUE,ISNA(AA53)=TRUE),N/A,N/A))))))))</f>
        <v>#NUM!</v>
      </c>
      <c r="AF53" s="146" t="str">
        <f>IF($P53="Short-Term",VLOOKUP(Q53,'Look-Ups-Mapping'!$J$2:$K$5,2,FALSE),"")</f>
        <v/>
      </c>
      <c r="AG53" s="146" t="str">
        <f>IF($P53="Short-Term",VLOOKUP(R53,'Look-Ups-Mapping'!$M$2:$N$8,2,FALSE),"")</f>
        <v/>
      </c>
      <c r="AH53" s="146" t="str">
        <f>IF($P53="Short-Term",VLOOKUP(S53,'Look-Ups-Mapping'!$P$2:$Q$8,2,FALSE),"")</f>
        <v/>
      </c>
      <c r="AI53" s="146" t="e" cm="1">
        <f t="array" ref="AI53">IF(AND(ISNA(AF53)=FALSE,ISNA(AG53)=FALSE,ISNA(AH53)=FALSE),SMALL(AF53:AH53,1),IF(AND(ISNA(AF53)=TRUE,ISNA(AG53)=FALSE,ISNA(AH53)=FALSE),SMALL(AG53:AH53,1),IF(AND(ISNA(AF53)=FALSE,ISNA(AG53)=TRUE,ISNA(AH53)=FALSE),MIN(AF53,AH53),IF(AND(ISNA(AF53)=FALSE,ISNA(AG53)=FALSE,ISNA(AH53)=TRUE),SMALL(AF53:AG53,1),IF(AND(ISNA(AF53)=TRUE,ISNA(AG53)=TRUE,ISNA(AH53)=FALSE),AH53,IF(AND(ISNA(AF53)=TRUE,ISNA(AG53)=FALSE,ISNA(AH53)=TRUE),AG53,IF(AND(ISNA(AF53)=FALSE,ISNA(AG53)=TRUE,ISNA(AH53)=TRUE),AF53,IF(AND(ISNA(AF53)=TRUE,ISNA(AG53)=TRUE,ISNA(AH53)=TRUE),N/A,N/A))))))))</f>
        <v>#NUM!</v>
      </c>
      <c r="AK53" s="147" t="e">
        <f>VLOOKUP(V53,'Look-Ups-Mapping'!$A$29:$B$33,2,FALSE)</f>
        <v>#N/A</v>
      </c>
      <c r="AN53" s="147" t="e">
        <f>VLOOKUP(T53,'Look-Ups-Mapping'!$F$34:$G$35,2,FALSE)</f>
        <v>#N/A</v>
      </c>
      <c r="AP53" s="147" t="e">
        <f>VLOOKUP(U53,'Look-Ups-Mapping'!$F$34:$G$35,2,FALSE)</f>
        <v>#N/A</v>
      </c>
    </row>
    <row r="54" spans="2:42" x14ac:dyDescent="0.25">
      <c r="B54" s="439"/>
      <c r="C54" s="131"/>
      <c r="D54" s="34"/>
      <c r="E54" s="230"/>
      <c r="F54" s="228"/>
      <c r="G54" s="41"/>
      <c r="H54" s="457"/>
      <c r="I54" s="463"/>
      <c r="J54" s="474" t="str">
        <f t="shared" si="11"/>
        <v>N/A</v>
      </c>
      <c r="K54" s="475" t="str">
        <f t="shared" si="6"/>
        <v/>
      </c>
      <c r="L54" s="41" t="str">
        <f t="shared" si="9"/>
        <v/>
      </c>
      <c r="M54" s="41" t="str">
        <f t="shared" si="7"/>
        <v/>
      </c>
      <c r="N54" s="41" t="str">
        <f t="shared" si="10"/>
        <v/>
      </c>
      <c r="O54" s="476" t="str">
        <f t="shared" si="8"/>
        <v/>
      </c>
      <c r="P54" s="388"/>
      <c r="Q54" s="389"/>
      <c r="R54" s="390"/>
      <c r="S54" s="391"/>
      <c r="T54" s="298"/>
      <c r="U54" s="292"/>
      <c r="V54" s="392"/>
      <c r="W54" s="296"/>
      <c r="Y54" s="146" t="str">
        <f>IF(P54="Long-Term",VLOOKUP(Q54,'Look-Ups-Mapping'!$A$2:$B$23,2,FALSE),IF('Investment Analysis'!P54="Short-Term",VLOOKUP('Investment Analysis'!Q54,'Look-Ups-Mapping'!$A$2:$B$23,2,FALSE),""))</f>
        <v/>
      </c>
      <c r="Z54" s="146" t="str">
        <f>IF(P54="Long-Term",VLOOKUP(R54,'Look-Ups-Mapping'!$D$2:$E$24,2,FALSE),IF('Investment Analysis'!P54="Short-Term",VLOOKUP('Investment Analysis'!R54,'Look-Ups-Mapping'!$D$2:$E$24,2,FALSE),""))</f>
        <v/>
      </c>
      <c r="AA54" s="146" t="str">
        <f>IF(P54="Long-Term",VLOOKUP(S54,'Look-Ups-Mapping'!$G$2:$H$22,2,FALSE),IF('Investment Analysis'!P54="Short-Term",VLOOKUP('Investment Analysis'!S54,'Look-Ups-Mapping'!$G$2:$H$22,2,FALSE),""))</f>
        <v/>
      </c>
      <c r="AB54" s="146" t="e" cm="1">
        <f t="array" ref="AB54">IF(AND(ISNA(Y54)=FALSE,ISNA(Z54)=FALSE,ISNA(AA54)=FALSE),SMALL(Y54:AA54,1),IF(AND(ISNA(Y54)=TRUE,ISNA(Z54)=FALSE,ISNA(AA54)=FALSE),SMALL(Z54:AA54,1),IF(AND(ISNA(Y54)=FALSE,ISNA(Z54)=TRUE,ISNA(AA54)=FALSE),MIN(Y54,AA54),IF(AND(ISNA(Y54)=FALSE,ISNA(Z54)=FALSE,ISNA(AA54)=TRUE),SMALL(Y54:Z54,1),IF(AND(ISNA(Y54)=TRUE,ISNA(Z54)=TRUE,ISNA(AA54)=FALSE),AA54,IF(AND(ISNA(Y54)=TRUE,ISNA(Z54)=FALSE,ISNA(AA54)=TRUE),Z54,IF(AND(ISNA(Y54)=FALSE,ISNA(Z54)=TRUE,ISNA(AA54)=TRUE),Y54,IF(AND(ISNA(Y54)=TRUE,ISNA(Z54)=TRUE,ISNA(AA54)=TRUE),N/A,N/A))))))))</f>
        <v>#NUM!</v>
      </c>
      <c r="AF54" s="146" t="str">
        <f>IF($P54="Short-Term",VLOOKUP(Q54,'Look-Ups-Mapping'!$J$2:$K$5,2,FALSE),"")</f>
        <v/>
      </c>
      <c r="AG54" s="146" t="str">
        <f>IF($P54="Short-Term",VLOOKUP(R54,'Look-Ups-Mapping'!$M$2:$N$8,2,FALSE),"")</f>
        <v/>
      </c>
      <c r="AH54" s="146" t="str">
        <f>IF($P54="Short-Term",VLOOKUP(S54,'Look-Ups-Mapping'!$P$2:$Q$8,2,FALSE),"")</f>
        <v/>
      </c>
      <c r="AI54" s="146" t="e" cm="1">
        <f t="array" ref="AI54">IF(AND(ISNA(AF54)=FALSE,ISNA(AG54)=FALSE,ISNA(AH54)=FALSE),SMALL(AF54:AH54,1),IF(AND(ISNA(AF54)=TRUE,ISNA(AG54)=FALSE,ISNA(AH54)=FALSE),SMALL(AG54:AH54,1),IF(AND(ISNA(AF54)=FALSE,ISNA(AG54)=TRUE,ISNA(AH54)=FALSE),MIN(AF54,AH54),IF(AND(ISNA(AF54)=FALSE,ISNA(AG54)=FALSE,ISNA(AH54)=TRUE),SMALL(AF54:AG54,1),IF(AND(ISNA(AF54)=TRUE,ISNA(AG54)=TRUE,ISNA(AH54)=FALSE),AH54,IF(AND(ISNA(AF54)=TRUE,ISNA(AG54)=FALSE,ISNA(AH54)=TRUE),AG54,IF(AND(ISNA(AF54)=FALSE,ISNA(AG54)=TRUE,ISNA(AH54)=TRUE),AF54,IF(AND(ISNA(AF54)=TRUE,ISNA(AG54)=TRUE,ISNA(AH54)=TRUE),N/A,N/A))))))))</f>
        <v>#NUM!</v>
      </c>
      <c r="AK54" s="147" t="e">
        <f>VLOOKUP(V54,'Look-Ups-Mapping'!$A$29:$B$33,2,FALSE)</f>
        <v>#N/A</v>
      </c>
      <c r="AN54" s="147" t="e">
        <f>VLOOKUP(T54,'Look-Ups-Mapping'!$F$34:$G$35,2,FALSE)</f>
        <v>#N/A</v>
      </c>
      <c r="AP54" s="147" t="e">
        <f>VLOOKUP(U54,'Look-Ups-Mapping'!$F$34:$G$35,2,FALSE)</f>
        <v>#N/A</v>
      </c>
    </row>
    <row r="55" spans="2:42" x14ac:dyDescent="0.25">
      <c r="B55" s="439"/>
      <c r="C55" s="131"/>
      <c r="D55" s="34"/>
      <c r="E55" s="230"/>
      <c r="F55" s="228"/>
      <c r="G55" s="41"/>
      <c r="H55" s="457"/>
      <c r="I55" s="463"/>
      <c r="J55" s="474" t="str">
        <f t="shared" si="11"/>
        <v>N/A</v>
      </c>
      <c r="K55" s="475" t="str">
        <f t="shared" si="6"/>
        <v/>
      </c>
      <c r="L55" s="41" t="str">
        <f t="shared" si="9"/>
        <v/>
      </c>
      <c r="M55" s="41" t="str">
        <f t="shared" si="7"/>
        <v/>
      </c>
      <c r="N55" s="41" t="str">
        <f t="shared" si="10"/>
        <v/>
      </c>
      <c r="O55" s="476" t="str">
        <f t="shared" si="8"/>
        <v/>
      </c>
      <c r="P55" s="388"/>
      <c r="Q55" s="389"/>
      <c r="R55" s="390"/>
      <c r="S55" s="391"/>
      <c r="T55" s="298"/>
      <c r="U55" s="292"/>
      <c r="V55" s="392"/>
      <c r="W55" s="296"/>
      <c r="Y55" s="146" t="str">
        <f>IF(P55="Long-Term",VLOOKUP(Q55,'Look-Ups-Mapping'!$A$2:$B$23,2,FALSE),IF('Investment Analysis'!P55="Short-Term",VLOOKUP('Investment Analysis'!Q55,'Look-Ups-Mapping'!$A$2:$B$23,2,FALSE),""))</f>
        <v/>
      </c>
      <c r="Z55" s="146" t="str">
        <f>IF(P55="Long-Term",VLOOKUP(R55,'Look-Ups-Mapping'!$D$2:$E$24,2,FALSE),IF('Investment Analysis'!P55="Short-Term",VLOOKUP('Investment Analysis'!R55,'Look-Ups-Mapping'!$D$2:$E$24,2,FALSE),""))</f>
        <v/>
      </c>
      <c r="AA55" s="146" t="str">
        <f>IF(P55="Long-Term",VLOOKUP(S55,'Look-Ups-Mapping'!$G$2:$H$22,2,FALSE),IF('Investment Analysis'!P55="Short-Term",VLOOKUP('Investment Analysis'!S55,'Look-Ups-Mapping'!$G$2:$H$22,2,FALSE),""))</f>
        <v/>
      </c>
      <c r="AB55" s="146" t="e" cm="1">
        <f t="array" ref="AB55">IF(AND(ISNA(Y55)=FALSE,ISNA(Z55)=FALSE,ISNA(AA55)=FALSE),SMALL(Y55:AA55,1),IF(AND(ISNA(Y55)=TRUE,ISNA(Z55)=FALSE,ISNA(AA55)=FALSE),SMALL(Z55:AA55,1),IF(AND(ISNA(Y55)=FALSE,ISNA(Z55)=TRUE,ISNA(AA55)=FALSE),MIN(Y55,AA55),IF(AND(ISNA(Y55)=FALSE,ISNA(Z55)=FALSE,ISNA(AA55)=TRUE),SMALL(Y55:Z55,1),IF(AND(ISNA(Y55)=TRUE,ISNA(Z55)=TRUE,ISNA(AA55)=FALSE),AA55,IF(AND(ISNA(Y55)=TRUE,ISNA(Z55)=FALSE,ISNA(AA55)=TRUE),Z55,IF(AND(ISNA(Y55)=FALSE,ISNA(Z55)=TRUE,ISNA(AA55)=TRUE),Y55,IF(AND(ISNA(Y55)=TRUE,ISNA(Z55)=TRUE,ISNA(AA55)=TRUE),N/A,N/A))))))))</f>
        <v>#NUM!</v>
      </c>
      <c r="AF55" s="146" t="str">
        <f>IF($P55="Short-Term",VLOOKUP(Q55,'Look-Ups-Mapping'!$J$2:$K$5,2,FALSE),"")</f>
        <v/>
      </c>
      <c r="AG55" s="146" t="str">
        <f>IF($P55="Short-Term",VLOOKUP(R55,'Look-Ups-Mapping'!$M$2:$N$8,2,FALSE),"")</f>
        <v/>
      </c>
      <c r="AH55" s="146" t="str">
        <f>IF($P55="Short-Term",VLOOKUP(S55,'Look-Ups-Mapping'!$P$2:$Q$8,2,FALSE),"")</f>
        <v/>
      </c>
      <c r="AI55" s="146" t="e" cm="1">
        <f t="array" ref="AI55">IF(AND(ISNA(AF55)=FALSE,ISNA(AG55)=FALSE,ISNA(AH55)=FALSE),SMALL(AF55:AH55,1),IF(AND(ISNA(AF55)=TRUE,ISNA(AG55)=FALSE,ISNA(AH55)=FALSE),SMALL(AG55:AH55,1),IF(AND(ISNA(AF55)=FALSE,ISNA(AG55)=TRUE,ISNA(AH55)=FALSE),MIN(AF55,AH55),IF(AND(ISNA(AF55)=FALSE,ISNA(AG55)=FALSE,ISNA(AH55)=TRUE),SMALL(AF55:AG55,1),IF(AND(ISNA(AF55)=TRUE,ISNA(AG55)=TRUE,ISNA(AH55)=FALSE),AH55,IF(AND(ISNA(AF55)=TRUE,ISNA(AG55)=FALSE,ISNA(AH55)=TRUE),AG55,IF(AND(ISNA(AF55)=FALSE,ISNA(AG55)=TRUE,ISNA(AH55)=TRUE),AF55,IF(AND(ISNA(AF55)=TRUE,ISNA(AG55)=TRUE,ISNA(AH55)=TRUE),N/A,N/A))))))))</f>
        <v>#NUM!</v>
      </c>
      <c r="AK55" s="147" t="e">
        <f>VLOOKUP(V55,'Look-Ups-Mapping'!$A$29:$B$33,2,FALSE)</f>
        <v>#N/A</v>
      </c>
      <c r="AN55" s="147" t="e">
        <f>VLOOKUP(T55,'Look-Ups-Mapping'!$F$34:$G$35,2,FALSE)</f>
        <v>#N/A</v>
      </c>
      <c r="AP55" s="147" t="e">
        <f>VLOOKUP(U55,'Look-Ups-Mapping'!$F$34:$G$35,2,FALSE)</f>
        <v>#N/A</v>
      </c>
    </row>
    <row r="56" spans="2:42" x14ac:dyDescent="0.25">
      <c r="B56" s="439"/>
      <c r="C56" s="131"/>
      <c r="D56" s="34"/>
      <c r="E56" s="230"/>
      <c r="F56" s="228"/>
      <c r="G56" s="41"/>
      <c r="H56" s="457"/>
      <c r="I56" s="463"/>
      <c r="J56" s="474" t="str">
        <f t="shared" si="11"/>
        <v>N/A</v>
      </c>
      <c r="K56" s="475" t="str">
        <f t="shared" si="6"/>
        <v/>
      </c>
      <c r="L56" s="41" t="str">
        <f t="shared" si="9"/>
        <v/>
      </c>
      <c r="M56" s="41" t="str">
        <f t="shared" si="7"/>
        <v/>
      </c>
      <c r="N56" s="41" t="str">
        <f t="shared" si="10"/>
        <v/>
      </c>
      <c r="O56" s="476" t="str">
        <f t="shared" si="8"/>
        <v/>
      </c>
      <c r="P56" s="388"/>
      <c r="Q56" s="389"/>
      <c r="R56" s="390"/>
      <c r="S56" s="391"/>
      <c r="T56" s="298"/>
      <c r="U56" s="292"/>
      <c r="V56" s="392"/>
      <c r="W56" s="296"/>
      <c r="Y56" s="146" t="str">
        <f>IF(P56="Long-Term",VLOOKUP(Q56,'Look-Ups-Mapping'!$A$2:$B$23,2,FALSE),IF('Investment Analysis'!P56="Short-Term",VLOOKUP('Investment Analysis'!Q56,'Look-Ups-Mapping'!$A$2:$B$23,2,FALSE),""))</f>
        <v/>
      </c>
      <c r="Z56" s="146" t="str">
        <f>IF(P56="Long-Term",VLOOKUP(R56,'Look-Ups-Mapping'!$D$2:$E$24,2,FALSE),IF('Investment Analysis'!P56="Short-Term",VLOOKUP('Investment Analysis'!R56,'Look-Ups-Mapping'!$D$2:$E$24,2,FALSE),""))</f>
        <v/>
      </c>
      <c r="AA56" s="146" t="str">
        <f>IF(P56="Long-Term",VLOOKUP(S56,'Look-Ups-Mapping'!$G$2:$H$22,2,FALSE),IF('Investment Analysis'!P56="Short-Term",VLOOKUP('Investment Analysis'!S56,'Look-Ups-Mapping'!$G$2:$H$22,2,FALSE),""))</f>
        <v/>
      </c>
      <c r="AB56" s="146" t="e" cm="1">
        <f t="array" ref="AB56">IF(AND(ISNA(Y56)=FALSE,ISNA(Z56)=FALSE,ISNA(AA56)=FALSE),SMALL(Y56:AA56,1),IF(AND(ISNA(Y56)=TRUE,ISNA(Z56)=FALSE,ISNA(AA56)=FALSE),SMALL(Z56:AA56,1),IF(AND(ISNA(Y56)=FALSE,ISNA(Z56)=TRUE,ISNA(AA56)=FALSE),MIN(Y56,AA56),IF(AND(ISNA(Y56)=FALSE,ISNA(Z56)=FALSE,ISNA(AA56)=TRUE),SMALL(Y56:Z56,1),IF(AND(ISNA(Y56)=TRUE,ISNA(Z56)=TRUE,ISNA(AA56)=FALSE),AA56,IF(AND(ISNA(Y56)=TRUE,ISNA(Z56)=FALSE,ISNA(AA56)=TRUE),Z56,IF(AND(ISNA(Y56)=FALSE,ISNA(Z56)=TRUE,ISNA(AA56)=TRUE),Y56,IF(AND(ISNA(Y56)=TRUE,ISNA(Z56)=TRUE,ISNA(AA56)=TRUE),N/A,N/A))))))))</f>
        <v>#NUM!</v>
      </c>
      <c r="AF56" s="146" t="str">
        <f>IF($P56="Short-Term",VLOOKUP(Q56,'Look-Ups-Mapping'!$J$2:$K$5,2,FALSE),"")</f>
        <v/>
      </c>
      <c r="AG56" s="146" t="str">
        <f>IF($P56="Short-Term",VLOOKUP(R56,'Look-Ups-Mapping'!$M$2:$N$8,2,FALSE),"")</f>
        <v/>
      </c>
      <c r="AH56" s="146" t="str">
        <f>IF($P56="Short-Term",VLOOKUP(S56,'Look-Ups-Mapping'!$P$2:$Q$8,2,FALSE),"")</f>
        <v/>
      </c>
      <c r="AI56" s="146" t="e" cm="1">
        <f t="array" ref="AI56">IF(AND(ISNA(AF56)=FALSE,ISNA(AG56)=FALSE,ISNA(AH56)=FALSE),SMALL(AF56:AH56,1),IF(AND(ISNA(AF56)=TRUE,ISNA(AG56)=FALSE,ISNA(AH56)=FALSE),SMALL(AG56:AH56,1),IF(AND(ISNA(AF56)=FALSE,ISNA(AG56)=TRUE,ISNA(AH56)=FALSE),MIN(AF56,AH56),IF(AND(ISNA(AF56)=FALSE,ISNA(AG56)=FALSE,ISNA(AH56)=TRUE),SMALL(AF56:AG56,1),IF(AND(ISNA(AF56)=TRUE,ISNA(AG56)=TRUE,ISNA(AH56)=FALSE),AH56,IF(AND(ISNA(AF56)=TRUE,ISNA(AG56)=FALSE,ISNA(AH56)=TRUE),AG56,IF(AND(ISNA(AF56)=FALSE,ISNA(AG56)=TRUE,ISNA(AH56)=TRUE),AF56,IF(AND(ISNA(AF56)=TRUE,ISNA(AG56)=TRUE,ISNA(AH56)=TRUE),N/A,N/A))))))))</f>
        <v>#NUM!</v>
      </c>
      <c r="AK56" s="147" t="e">
        <f>VLOOKUP(V56,'Look-Ups-Mapping'!$A$29:$B$33,2,FALSE)</f>
        <v>#N/A</v>
      </c>
      <c r="AN56" s="147" t="e">
        <f>VLOOKUP(T56,'Look-Ups-Mapping'!$F$34:$G$35,2,FALSE)</f>
        <v>#N/A</v>
      </c>
      <c r="AP56" s="147" t="e">
        <f>VLOOKUP(U56,'Look-Ups-Mapping'!$F$34:$G$35,2,FALSE)</f>
        <v>#N/A</v>
      </c>
    </row>
    <row r="57" spans="2:42" x14ac:dyDescent="0.25">
      <c r="B57" s="439"/>
      <c r="C57" s="131"/>
      <c r="D57" s="34"/>
      <c r="E57" s="230"/>
      <c r="F57" s="228"/>
      <c r="G57" s="41"/>
      <c r="H57" s="457"/>
      <c r="I57" s="463"/>
      <c r="J57" s="474" t="str">
        <f t="shared" si="11"/>
        <v>N/A</v>
      </c>
      <c r="K57" s="475" t="str">
        <f t="shared" si="6"/>
        <v/>
      </c>
      <c r="L57" s="41" t="str">
        <f t="shared" si="9"/>
        <v/>
      </c>
      <c r="M57" s="41" t="str">
        <f t="shared" si="7"/>
        <v/>
      </c>
      <c r="N57" s="41" t="str">
        <f t="shared" si="10"/>
        <v/>
      </c>
      <c r="O57" s="476" t="str">
        <f t="shared" si="8"/>
        <v/>
      </c>
      <c r="P57" s="388"/>
      <c r="Q57" s="389"/>
      <c r="R57" s="390"/>
      <c r="S57" s="391"/>
      <c r="T57" s="298"/>
      <c r="U57" s="292"/>
      <c r="V57" s="392"/>
      <c r="W57" s="296"/>
      <c r="Y57" s="146" t="str">
        <f>IF(P57="Long-Term",VLOOKUP(Q57,'Look-Ups-Mapping'!$A$2:$B$23,2,FALSE),IF('Investment Analysis'!P57="Short-Term",VLOOKUP('Investment Analysis'!Q57,'Look-Ups-Mapping'!$A$2:$B$23,2,FALSE),""))</f>
        <v/>
      </c>
      <c r="Z57" s="146" t="str">
        <f>IF(P57="Long-Term",VLOOKUP(R57,'Look-Ups-Mapping'!$D$2:$E$24,2,FALSE),IF('Investment Analysis'!P57="Short-Term",VLOOKUP('Investment Analysis'!R57,'Look-Ups-Mapping'!$D$2:$E$24,2,FALSE),""))</f>
        <v/>
      </c>
      <c r="AA57" s="146" t="str">
        <f>IF(P57="Long-Term",VLOOKUP(S57,'Look-Ups-Mapping'!$G$2:$H$22,2,FALSE),IF('Investment Analysis'!P57="Short-Term",VLOOKUP('Investment Analysis'!S57,'Look-Ups-Mapping'!$G$2:$H$22,2,FALSE),""))</f>
        <v/>
      </c>
      <c r="AB57" s="146" t="e" cm="1">
        <f t="array" ref="AB57">IF(AND(ISNA(Y57)=FALSE,ISNA(Z57)=FALSE,ISNA(AA57)=FALSE),SMALL(Y57:AA57,1),IF(AND(ISNA(Y57)=TRUE,ISNA(Z57)=FALSE,ISNA(AA57)=FALSE),SMALL(Z57:AA57,1),IF(AND(ISNA(Y57)=FALSE,ISNA(Z57)=TRUE,ISNA(AA57)=FALSE),MIN(Y57,AA57),IF(AND(ISNA(Y57)=FALSE,ISNA(Z57)=FALSE,ISNA(AA57)=TRUE),SMALL(Y57:Z57,1),IF(AND(ISNA(Y57)=TRUE,ISNA(Z57)=TRUE,ISNA(AA57)=FALSE),AA57,IF(AND(ISNA(Y57)=TRUE,ISNA(Z57)=FALSE,ISNA(AA57)=TRUE),Z57,IF(AND(ISNA(Y57)=FALSE,ISNA(Z57)=TRUE,ISNA(AA57)=TRUE),Y57,IF(AND(ISNA(Y57)=TRUE,ISNA(Z57)=TRUE,ISNA(AA57)=TRUE),N/A,N/A))))))))</f>
        <v>#NUM!</v>
      </c>
      <c r="AF57" s="146" t="str">
        <f>IF($P57="Short-Term",VLOOKUP(Q57,'Look-Ups-Mapping'!$J$2:$K$5,2,FALSE),"")</f>
        <v/>
      </c>
      <c r="AG57" s="146" t="str">
        <f>IF($P57="Short-Term",VLOOKUP(R57,'Look-Ups-Mapping'!$M$2:$N$8,2,FALSE),"")</f>
        <v/>
      </c>
      <c r="AH57" s="146" t="str">
        <f>IF($P57="Short-Term",VLOOKUP(S57,'Look-Ups-Mapping'!$P$2:$Q$8,2,FALSE),"")</f>
        <v/>
      </c>
      <c r="AI57" s="146" t="e" cm="1">
        <f t="array" ref="AI57">IF(AND(ISNA(AF57)=FALSE,ISNA(AG57)=FALSE,ISNA(AH57)=FALSE),SMALL(AF57:AH57,1),IF(AND(ISNA(AF57)=TRUE,ISNA(AG57)=FALSE,ISNA(AH57)=FALSE),SMALL(AG57:AH57,1),IF(AND(ISNA(AF57)=FALSE,ISNA(AG57)=TRUE,ISNA(AH57)=FALSE),MIN(AF57,AH57),IF(AND(ISNA(AF57)=FALSE,ISNA(AG57)=FALSE,ISNA(AH57)=TRUE),SMALL(AF57:AG57,1),IF(AND(ISNA(AF57)=TRUE,ISNA(AG57)=TRUE,ISNA(AH57)=FALSE),AH57,IF(AND(ISNA(AF57)=TRUE,ISNA(AG57)=FALSE,ISNA(AH57)=TRUE),AG57,IF(AND(ISNA(AF57)=FALSE,ISNA(AG57)=TRUE,ISNA(AH57)=TRUE),AF57,IF(AND(ISNA(AF57)=TRUE,ISNA(AG57)=TRUE,ISNA(AH57)=TRUE),N/A,N/A))))))))</f>
        <v>#NUM!</v>
      </c>
      <c r="AK57" s="147" t="e">
        <f>VLOOKUP(V57,'Look-Ups-Mapping'!$A$29:$B$33,2,FALSE)</f>
        <v>#N/A</v>
      </c>
      <c r="AN57" s="147" t="e">
        <f>VLOOKUP(T57,'Look-Ups-Mapping'!$F$34:$G$35,2,FALSE)</f>
        <v>#N/A</v>
      </c>
      <c r="AP57" s="147" t="e">
        <f>VLOOKUP(U57,'Look-Ups-Mapping'!$F$34:$G$35,2,FALSE)</f>
        <v>#N/A</v>
      </c>
    </row>
    <row r="58" spans="2:42" x14ac:dyDescent="0.25">
      <c r="B58" s="439"/>
      <c r="C58" s="131"/>
      <c r="D58" s="34"/>
      <c r="E58" s="230"/>
      <c r="F58" s="228"/>
      <c r="G58" s="41"/>
      <c r="H58" s="457"/>
      <c r="I58" s="463"/>
      <c r="J58" s="474" t="str">
        <f t="shared" si="11"/>
        <v>N/A</v>
      </c>
      <c r="K58" s="475" t="str">
        <f t="shared" si="6"/>
        <v/>
      </c>
      <c r="L58" s="41" t="str">
        <f t="shared" si="9"/>
        <v/>
      </c>
      <c r="M58" s="41" t="str">
        <f t="shared" si="7"/>
        <v/>
      </c>
      <c r="N58" s="41" t="str">
        <f t="shared" si="10"/>
        <v/>
      </c>
      <c r="O58" s="476" t="str">
        <f t="shared" si="8"/>
        <v/>
      </c>
      <c r="P58" s="388"/>
      <c r="Q58" s="389"/>
      <c r="R58" s="390"/>
      <c r="S58" s="391"/>
      <c r="T58" s="298"/>
      <c r="U58" s="292"/>
      <c r="V58" s="392"/>
      <c r="W58" s="296"/>
      <c r="Y58" s="146" t="str">
        <f>IF(P58="Long-Term",VLOOKUP(Q58,'Look-Ups-Mapping'!$A$2:$B$23,2,FALSE),IF('Investment Analysis'!P58="Short-Term",VLOOKUP('Investment Analysis'!Q58,'Look-Ups-Mapping'!$A$2:$B$23,2,FALSE),""))</f>
        <v/>
      </c>
      <c r="Z58" s="146" t="str">
        <f>IF(P58="Long-Term",VLOOKUP(R58,'Look-Ups-Mapping'!$D$2:$E$24,2,FALSE),IF('Investment Analysis'!P58="Short-Term",VLOOKUP('Investment Analysis'!R58,'Look-Ups-Mapping'!$D$2:$E$24,2,FALSE),""))</f>
        <v/>
      </c>
      <c r="AA58" s="146" t="str">
        <f>IF(P58="Long-Term",VLOOKUP(S58,'Look-Ups-Mapping'!$G$2:$H$22,2,FALSE),IF('Investment Analysis'!P58="Short-Term",VLOOKUP('Investment Analysis'!S58,'Look-Ups-Mapping'!$G$2:$H$22,2,FALSE),""))</f>
        <v/>
      </c>
      <c r="AB58" s="146" t="e" cm="1">
        <f t="array" ref="AB58">IF(AND(ISNA(Y58)=FALSE,ISNA(Z58)=FALSE,ISNA(AA58)=FALSE),SMALL(Y58:AA58,1),IF(AND(ISNA(Y58)=TRUE,ISNA(Z58)=FALSE,ISNA(AA58)=FALSE),SMALL(Z58:AA58,1),IF(AND(ISNA(Y58)=FALSE,ISNA(Z58)=TRUE,ISNA(AA58)=FALSE),MIN(Y58,AA58),IF(AND(ISNA(Y58)=FALSE,ISNA(Z58)=FALSE,ISNA(AA58)=TRUE),SMALL(Y58:Z58,1),IF(AND(ISNA(Y58)=TRUE,ISNA(Z58)=TRUE,ISNA(AA58)=FALSE),AA58,IF(AND(ISNA(Y58)=TRUE,ISNA(Z58)=FALSE,ISNA(AA58)=TRUE),Z58,IF(AND(ISNA(Y58)=FALSE,ISNA(Z58)=TRUE,ISNA(AA58)=TRUE),Y58,IF(AND(ISNA(Y58)=TRUE,ISNA(Z58)=TRUE,ISNA(AA58)=TRUE),N/A,N/A))))))))</f>
        <v>#NUM!</v>
      </c>
      <c r="AF58" s="146" t="str">
        <f>IF($P58="Short-Term",VLOOKUP(Q58,'Look-Ups-Mapping'!$J$2:$K$5,2,FALSE),"")</f>
        <v/>
      </c>
      <c r="AG58" s="146" t="str">
        <f>IF($P58="Short-Term",VLOOKUP(R58,'Look-Ups-Mapping'!$M$2:$N$8,2,FALSE),"")</f>
        <v/>
      </c>
      <c r="AH58" s="146" t="str">
        <f>IF($P58="Short-Term",VLOOKUP(S58,'Look-Ups-Mapping'!$P$2:$Q$8,2,FALSE),"")</f>
        <v/>
      </c>
      <c r="AI58" s="146" t="e" cm="1">
        <f t="array" ref="AI58">IF(AND(ISNA(AF58)=FALSE,ISNA(AG58)=FALSE,ISNA(AH58)=FALSE),SMALL(AF58:AH58,1),IF(AND(ISNA(AF58)=TRUE,ISNA(AG58)=FALSE,ISNA(AH58)=FALSE),SMALL(AG58:AH58,1),IF(AND(ISNA(AF58)=FALSE,ISNA(AG58)=TRUE,ISNA(AH58)=FALSE),MIN(AF58,AH58),IF(AND(ISNA(AF58)=FALSE,ISNA(AG58)=FALSE,ISNA(AH58)=TRUE),SMALL(AF58:AG58,1),IF(AND(ISNA(AF58)=TRUE,ISNA(AG58)=TRUE,ISNA(AH58)=FALSE),AH58,IF(AND(ISNA(AF58)=TRUE,ISNA(AG58)=FALSE,ISNA(AH58)=TRUE),AG58,IF(AND(ISNA(AF58)=FALSE,ISNA(AG58)=TRUE,ISNA(AH58)=TRUE),AF58,IF(AND(ISNA(AF58)=TRUE,ISNA(AG58)=TRUE,ISNA(AH58)=TRUE),N/A,N/A))))))))</f>
        <v>#NUM!</v>
      </c>
      <c r="AK58" s="147" t="e">
        <f>VLOOKUP(V58,'Look-Ups-Mapping'!$A$29:$B$33,2,FALSE)</f>
        <v>#N/A</v>
      </c>
      <c r="AN58" s="147" t="e">
        <f>VLOOKUP(T58,'Look-Ups-Mapping'!$F$34:$G$35,2,FALSE)</f>
        <v>#N/A</v>
      </c>
      <c r="AP58" s="147" t="e">
        <f>VLOOKUP(U58,'Look-Ups-Mapping'!$F$34:$G$35,2,FALSE)</f>
        <v>#N/A</v>
      </c>
    </row>
    <row r="59" spans="2:42" x14ac:dyDescent="0.25">
      <c r="B59" s="439"/>
      <c r="C59" s="131"/>
      <c r="D59" s="34"/>
      <c r="E59" s="230"/>
      <c r="F59" s="228"/>
      <c r="G59" s="41"/>
      <c r="H59" s="457"/>
      <c r="I59" s="463"/>
      <c r="J59" s="474" t="str">
        <f t="shared" si="11"/>
        <v>N/A</v>
      </c>
      <c r="K59" s="475" t="str">
        <f t="shared" si="6"/>
        <v/>
      </c>
      <c r="L59" s="41" t="str">
        <f t="shared" si="9"/>
        <v/>
      </c>
      <c r="M59" s="41" t="str">
        <f t="shared" si="7"/>
        <v/>
      </c>
      <c r="N59" s="41" t="str">
        <f t="shared" si="10"/>
        <v/>
      </c>
      <c r="O59" s="476" t="str">
        <f t="shared" si="8"/>
        <v/>
      </c>
      <c r="P59" s="388"/>
      <c r="Q59" s="389"/>
      <c r="R59" s="390"/>
      <c r="S59" s="391"/>
      <c r="T59" s="298"/>
      <c r="U59" s="292"/>
      <c r="V59" s="392"/>
      <c r="W59" s="296"/>
      <c r="Y59" s="146" t="str">
        <f>IF(P59="Long-Term",VLOOKUP(Q59,'Look-Ups-Mapping'!$A$2:$B$23,2,FALSE),IF('Investment Analysis'!P59="Short-Term",VLOOKUP('Investment Analysis'!Q59,'Look-Ups-Mapping'!$A$2:$B$23,2,FALSE),""))</f>
        <v/>
      </c>
      <c r="Z59" s="146" t="str">
        <f>IF(P59="Long-Term",VLOOKUP(R59,'Look-Ups-Mapping'!$D$2:$E$24,2,FALSE),IF('Investment Analysis'!P59="Short-Term",VLOOKUP('Investment Analysis'!R59,'Look-Ups-Mapping'!$D$2:$E$24,2,FALSE),""))</f>
        <v/>
      </c>
      <c r="AA59" s="146" t="str">
        <f>IF(P59="Long-Term",VLOOKUP(S59,'Look-Ups-Mapping'!$G$2:$H$22,2,FALSE),IF('Investment Analysis'!P59="Short-Term",VLOOKUP('Investment Analysis'!S59,'Look-Ups-Mapping'!$G$2:$H$22,2,FALSE),""))</f>
        <v/>
      </c>
      <c r="AB59" s="146" t="e" cm="1">
        <f t="array" ref="AB59">IF(AND(ISNA(Y59)=FALSE,ISNA(Z59)=FALSE,ISNA(AA59)=FALSE),SMALL(Y59:AA59,1),IF(AND(ISNA(Y59)=TRUE,ISNA(Z59)=FALSE,ISNA(AA59)=FALSE),SMALL(Z59:AA59,1),IF(AND(ISNA(Y59)=FALSE,ISNA(Z59)=TRUE,ISNA(AA59)=FALSE),MIN(Y59,AA59),IF(AND(ISNA(Y59)=FALSE,ISNA(Z59)=FALSE,ISNA(AA59)=TRUE),SMALL(Y59:Z59,1),IF(AND(ISNA(Y59)=TRUE,ISNA(Z59)=TRUE,ISNA(AA59)=FALSE),AA59,IF(AND(ISNA(Y59)=TRUE,ISNA(Z59)=FALSE,ISNA(AA59)=TRUE),Z59,IF(AND(ISNA(Y59)=FALSE,ISNA(Z59)=TRUE,ISNA(AA59)=TRUE),Y59,IF(AND(ISNA(Y59)=TRUE,ISNA(Z59)=TRUE,ISNA(AA59)=TRUE),N/A,N/A))))))))</f>
        <v>#NUM!</v>
      </c>
      <c r="AF59" s="146" t="str">
        <f>IF($P59="Short-Term",VLOOKUP(Q59,'Look-Ups-Mapping'!$J$2:$K$5,2,FALSE),"")</f>
        <v/>
      </c>
      <c r="AG59" s="146" t="str">
        <f>IF($P59="Short-Term",VLOOKUP(R59,'Look-Ups-Mapping'!$M$2:$N$8,2,FALSE),"")</f>
        <v/>
      </c>
      <c r="AH59" s="146" t="str">
        <f>IF($P59="Short-Term",VLOOKUP(S59,'Look-Ups-Mapping'!$P$2:$Q$8,2,FALSE),"")</f>
        <v/>
      </c>
      <c r="AI59" s="146" t="e" cm="1">
        <f t="array" ref="AI59">IF(AND(ISNA(AF59)=FALSE,ISNA(AG59)=FALSE,ISNA(AH59)=FALSE),SMALL(AF59:AH59,1),IF(AND(ISNA(AF59)=TRUE,ISNA(AG59)=FALSE,ISNA(AH59)=FALSE),SMALL(AG59:AH59,1),IF(AND(ISNA(AF59)=FALSE,ISNA(AG59)=TRUE,ISNA(AH59)=FALSE),MIN(AF59,AH59),IF(AND(ISNA(AF59)=FALSE,ISNA(AG59)=FALSE,ISNA(AH59)=TRUE),SMALL(AF59:AG59,1),IF(AND(ISNA(AF59)=TRUE,ISNA(AG59)=TRUE,ISNA(AH59)=FALSE),AH59,IF(AND(ISNA(AF59)=TRUE,ISNA(AG59)=FALSE,ISNA(AH59)=TRUE),AG59,IF(AND(ISNA(AF59)=FALSE,ISNA(AG59)=TRUE,ISNA(AH59)=TRUE),AF59,IF(AND(ISNA(AF59)=TRUE,ISNA(AG59)=TRUE,ISNA(AH59)=TRUE),N/A,N/A))))))))</f>
        <v>#NUM!</v>
      </c>
      <c r="AK59" s="147" t="e">
        <f>VLOOKUP(V59,'Look-Ups-Mapping'!$A$29:$B$33,2,FALSE)</f>
        <v>#N/A</v>
      </c>
      <c r="AN59" s="147" t="e">
        <f>VLOOKUP(T59,'Look-Ups-Mapping'!$F$34:$G$35,2,FALSE)</f>
        <v>#N/A</v>
      </c>
      <c r="AP59" s="147" t="e">
        <f>VLOOKUP(U59,'Look-Ups-Mapping'!$F$34:$G$35,2,FALSE)</f>
        <v>#N/A</v>
      </c>
    </row>
    <row r="60" spans="2:42" x14ac:dyDescent="0.25">
      <c r="B60" s="439"/>
      <c r="C60" s="131"/>
      <c r="D60" s="34"/>
      <c r="E60" s="230"/>
      <c r="F60" s="228"/>
      <c r="G60" s="41"/>
      <c r="H60" s="457"/>
      <c r="I60" s="463"/>
      <c r="J60" s="474" t="str">
        <f t="shared" si="11"/>
        <v>N/A</v>
      </c>
      <c r="K60" s="475" t="str">
        <f t="shared" si="6"/>
        <v/>
      </c>
      <c r="L60" s="41" t="str">
        <f t="shared" si="9"/>
        <v/>
      </c>
      <c r="M60" s="41" t="str">
        <f t="shared" si="7"/>
        <v/>
      </c>
      <c r="N60" s="41" t="str">
        <f>IF($E60="Mutual Funds Equities Domestic","",IF($E60="Mutual Funds Equities International","",IF($E60="Real Estate Investment Trusts","",IF($E60="Real Estate Investments","",IF($E60="Exchange Traded Funds-Equity","",IF($E60="Equity Securities-Domestic","",IF($E60="Equity Securities-International","",IF(AND($J60&gt;1825,$J60&lt;3651),H60,""))))))))</f>
        <v/>
      </c>
      <c r="O60" s="476" t="str">
        <f t="shared" si="8"/>
        <v/>
      </c>
      <c r="P60" s="388"/>
      <c r="Q60" s="389"/>
      <c r="R60" s="390"/>
      <c r="S60" s="391"/>
      <c r="T60" s="298"/>
      <c r="U60" s="292"/>
      <c r="V60" s="392"/>
      <c r="W60" s="296"/>
      <c r="Y60" s="146" t="str">
        <f>IF(P60="Long-Term",VLOOKUP(Q60,'Look-Ups-Mapping'!$A$2:$B$23,2,FALSE),IF('Investment Analysis'!P60="Short-Term",VLOOKUP('Investment Analysis'!Q60,'Look-Ups-Mapping'!$A$2:$B$23,2,FALSE),""))</f>
        <v/>
      </c>
      <c r="Z60" s="146" t="str">
        <f>IF(P60="Long-Term",VLOOKUP(R60,'Look-Ups-Mapping'!$D$2:$E$24,2,FALSE),IF('Investment Analysis'!P60="Short-Term",VLOOKUP('Investment Analysis'!R60,'Look-Ups-Mapping'!$D$2:$E$24,2,FALSE),""))</f>
        <v/>
      </c>
      <c r="AA60" s="146" t="str">
        <f>IF(P60="Long-Term",VLOOKUP(S60,'Look-Ups-Mapping'!$G$2:$H$22,2,FALSE),IF('Investment Analysis'!P60="Short-Term",VLOOKUP('Investment Analysis'!S60,'Look-Ups-Mapping'!$G$2:$H$22,2,FALSE),""))</f>
        <v/>
      </c>
      <c r="AB60" s="146" t="e" cm="1">
        <f t="array" ref="AB60">IF(AND(ISNA(Y60)=FALSE,ISNA(Z60)=FALSE,ISNA(AA60)=FALSE),SMALL(Y60:AA60,1),IF(AND(ISNA(Y60)=TRUE,ISNA(Z60)=FALSE,ISNA(AA60)=FALSE),SMALL(Z60:AA60,1),IF(AND(ISNA(Y60)=FALSE,ISNA(Z60)=TRUE,ISNA(AA60)=FALSE),MIN(Y60,AA60),IF(AND(ISNA(Y60)=FALSE,ISNA(Z60)=FALSE,ISNA(AA60)=TRUE),SMALL(Y60:Z60,1),IF(AND(ISNA(Y60)=TRUE,ISNA(Z60)=TRUE,ISNA(AA60)=FALSE),AA60,IF(AND(ISNA(Y60)=TRUE,ISNA(Z60)=FALSE,ISNA(AA60)=TRUE),Z60,IF(AND(ISNA(Y60)=FALSE,ISNA(Z60)=TRUE,ISNA(AA60)=TRUE),Y60,IF(AND(ISNA(Y60)=TRUE,ISNA(Z60)=TRUE,ISNA(AA60)=TRUE),N/A,N/A))))))))</f>
        <v>#NUM!</v>
      </c>
      <c r="AF60" s="146" t="str">
        <f>IF($P60="Short-Term",VLOOKUP(Q60,'Look-Ups-Mapping'!$J$2:$K$5,2,FALSE),"")</f>
        <v/>
      </c>
      <c r="AG60" s="146" t="str">
        <f>IF($P60="Short-Term",VLOOKUP(R60,'Look-Ups-Mapping'!$M$2:$N$8,2,FALSE),"")</f>
        <v/>
      </c>
      <c r="AH60" s="146" t="str">
        <f>IF($P60="Short-Term",VLOOKUP(S60,'Look-Ups-Mapping'!$P$2:$Q$8,2,FALSE),"")</f>
        <v/>
      </c>
      <c r="AI60" s="146" t="e" cm="1">
        <f t="array" ref="AI60">IF(AND(ISNA(AF60)=FALSE,ISNA(AG60)=FALSE,ISNA(AH60)=FALSE),SMALL(AF60:AH60,1),IF(AND(ISNA(AF60)=TRUE,ISNA(AG60)=FALSE,ISNA(AH60)=FALSE),SMALL(AG60:AH60,1),IF(AND(ISNA(AF60)=FALSE,ISNA(AG60)=TRUE,ISNA(AH60)=FALSE),MIN(AF60,AH60),IF(AND(ISNA(AF60)=FALSE,ISNA(AG60)=FALSE,ISNA(AH60)=TRUE),SMALL(AF60:AG60,1),IF(AND(ISNA(AF60)=TRUE,ISNA(AG60)=TRUE,ISNA(AH60)=FALSE),AH60,IF(AND(ISNA(AF60)=TRUE,ISNA(AG60)=FALSE,ISNA(AH60)=TRUE),AG60,IF(AND(ISNA(AF60)=FALSE,ISNA(AG60)=TRUE,ISNA(AH60)=TRUE),AF60,IF(AND(ISNA(AF60)=TRUE,ISNA(AG60)=TRUE,ISNA(AH60)=TRUE),N/A,N/A))))))))</f>
        <v>#NUM!</v>
      </c>
      <c r="AK60" s="147" t="e">
        <f>VLOOKUP(V60,'Look-Ups-Mapping'!$A$29:$B$33,2,FALSE)</f>
        <v>#N/A</v>
      </c>
      <c r="AN60" s="147" t="e">
        <f>VLOOKUP(T60,'Look-Ups-Mapping'!$F$34:$G$35,2,FALSE)</f>
        <v>#N/A</v>
      </c>
      <c r="AP60" s="147" t="e">
        <f>VLOOKUP(U60,'Look-Ups-Mapping'!$F$34:$G$35,2,FALSE)</f>
        <v>#N/A</v>
      </c>
    </row>
    <row r="61" spans="2:42" x14ac:dyDescent="0.25">
      <c r="B61" s="439"/>
      <c r="C61" s="131"/>
      <c r="D61" s="34"/>
      <c r="E61" s="230"/>
      <c r="F61" s="228"/>
      <c r="G61" s="41"/>
      <c r="H61" s="457"/>
      <c r="I61" s="463"/>
      <c r="J61" s="474" t="str">
        <f t="shared" si="11"/>
        <v>N/A</v>
      </c>
      <c r="K61" s="475" t="str">
        <f t="shared" si="6"/>
        <v/>
      </c>
      <c r="L61" s="41" t="str">
        <f t="shared" si="9"/>
        <v/>
      </c>
      <c r="M61" s="41" t="str">
        <f t="shared" si="7"/>
        <v/>
      </c>
      <c r="N61" s="41" t="str">
        <f t="shared" si="10"/>
        <v/>
      </c>
      <c r="O61" s="476" t="str">
        <f t="shared" si="8"/>
        <v/>
      </c>
      <c r="P61" s="388"/>
      <c r="Q61" s="389"/>
      <c r="R61" s="390"/>
      <c r="S61" s="391"/>
      <c r="T61" s="298"/>
      <c r="U61" s="292"/>
      <c r="V61" s="392"/>
      <c r="W61" s="296"/>
      <c r="Y61" s="146" t="str">
        <f>IF(P61="Long-Term",VLOOKUP(Q61,'Look-Ups-Mapping'!$A$2:$B$23,2,FALSE),IF('Investment Analysis'!P61="Short-Term",VLOOKUP('Investment Analysis'!Q61,'Look-Ups-Mapping'!$A$2:$B$23,2,FALSE),""))</f>
        <v/>
      </c>
      <c r="Z61" s="146" t="str">
        <f>IF(P61="Long-Term",VLOOKUP(R61,'Look-Ups-Mapping'!$D$2:$E$24,2,FALSE),IF('Investment Analysis'!P61="Short-Term",VLOOKUP('Investment Analysis'!R61,'Look-Ups-Mapping'!$D$2:$E$24,2,FALSE),""))</f>
        <v/>
      </c>
      <c r="AA61" s="146" t="str">
        <f>IF(P61="Long-Term",VLOOKUP(S61,'Look-Ups-Mapping'!$G$2:$H$22,2,FALSE),IF('Investment Analysis'!P61="Short-Term",VLOOKUP('Investment Analysis'!S61,'Look-Ups-Mapping'!$G$2:$H$22,2,FALSE),""))</f>
        <v/>
      </c>
      <c r="AB61" s="146" t="e" cm="1">
        <f t="array" ref="AB61">IF(AND(ISNA(Y61)=FALSE,ISNA(Z61)=FALSE,ISNA(AA61)=FALSE),SMALL(Y61:AA61,1),IF(AND(ISNA(Y61)=TRUE,ISNA(Z61)=FALSE,ISNA(AA61)=FALSE),SMALL(Z61:AA61,1),IF(AND(ISNA(Y61)=FALSE,ISNA(Z61)=TRUE,ISNA(AA61)=FALSE),MIN(Y61,AA61),IF(AND(ISNA(Y61)=FALSE,ISNA(Z61)=FALSE,ISNA(AA61)=TRUE),SMALL(Y61:Z61,1),IF(AND(ISNA(Y61)=TRUE,ISNA(Z61)=TRUE,ISNA(AA61)=FALSE),AA61,IF(AND(ISNA(Y61)=TRUE,ISNA(Z61)=FALSE,ISNA(AA61)=TRUE),Z61,IF(AND(ISNA(Y61)=FALSE,ISNA(Z61)=TRUE,ISNA(AA61)=TRUE),Y61,IF(AND(ISNA(Y61)=TRUE,ISNA(Z61)=TRUE,ISNA(AA61)=TRUE),N/A,N/A))))))))</f>
        <v>#NUM!</v>
      </c>
      <c r="AF61" s="146" t="str">
        <f>IF($P61="Short-Term",VLOOKUP(Q61,'Look-Ups-Mapping'!$J$2:$K$5,2,FALSE),"")</f>
        <v/>
      </c>
      <c r="AG61" s="146" t="str">
        <f>IF($P61="Short-Term",VLOOKUP(R61,'Look-Ups-Mapping'!$M$2:$N$8,2,FALSE),"")</f>
        <v/>
      </c>
      <c r="AH61" s="146" t="str">
        <f>IF($P61="Short-Term",VLOOKUP(S61,'Look-Ups-Mapping'!$P$2:$Q$8,2,FALSE),"")</f>
        <v/>
      </c>
      <c r="AI61" s="146" t="e" cm="1">
        <f t="array" ref="AI61">IF(AND(ISNA(AF61)=FALSE,ISNA(AG61)=FALSE,ISNA(AH61)=FALSE),SMALL(AF61:AH61,1),IF(AND(ISNA(AF61)=TRUE,ISNA(AG61)=FALSE,ISNA(AH61)=FALSE),SMALL(AG61:AH61,1),IF(AND(ISNA(AF61)=FALSE,ISNA(AG61)=TRUE,ISNA(AH61)=FALSE),MIN(AF61,AH61),IF(AND(ISNA(AF61)=FALSE,ISNA(AG61)=FALSE,ISNA(AH61)=TRUE),SMALL(AF61:AG61,1),IF(AND(ISNA(AF61)=TRUE,ISNA(AG61)=TRUE,ISNA(AH61)=FALSE),AH61,IF(AND(ISNA(AF61)=TRUE,ISNA(AG61)=FALSE,ISNA(AH61)=TRUE),AG61,IF(AND(ISNA(AF61)=FALSE,ISNA(AG61)=TRUE,ISNA(AH61)=TRUE),AF61,IF(AND(ISNA(AF61)=TRUE,ISNA(AG61)=TRUE,ISNA(AH61)=TRUE),N/A,N/A))))))))</f>
        <v>#NUM!</v>
      </c>
      <c r="AK61" s="147" t="e">
        <f>VLOOKUP(V61,'Look-Ups-Mapping'!$A$29:$B$33,2,FALSE)</f>
        <v>#N/A</v>
      </c>
      <c r="AN61" s="147" t="e">
        <f>VLOOKUP(T61,'Look-Ups-Mapping'!$F$34:$G$35,2,FALSE)</f>
        <v>#N/A</v>
      </c>
      <c r="AP61" s="147" t="e">
        <f>VLOOKUP(U61,'Look-Ups-Mapping'!$F$34:$G$35,2,FALSE)</f>
        <v>#N/A</v>
      </c>
    </row>
    <row r="62" spans="2:42" x14ac:dyDescent="0.25">
      <c r="B62" s="439"/>
      <c r="C62" s="131"/>
      <c r="D62" s="34"/>
      <c r="E62" s="230"/>
      <c r="F62" s="228"/>
      <c r="G62" s="41"/>
      <c r="H62" s="457"/>
      <c r="I62" s="463"/>
      <c r="J62" s="474" t="str">
        <f t="shared" si="11"/>
        <v>N/A</v>
      </c>
      <c r="K62" s="475" t="str">
        <f t="shared" si="6"/>
        <v/>
      </c>
      <c r="L62" s="41" t="str">
        <f t="shared" si="9"/>
        <v/>
      </c>
      <c r="M62" s="41" t="str">
        <f t="shared" si="7"/>
        <v/>
      </c>
      <c r="N62" s="41" t="str">
        <f t="shared" si="10"/>
        <v/>
      </c>
      <c r="O62" s="476" t="str">
        <f t="shared" si="8"/>
        <v/>
      </c>
      <c r="P62" s="388"/>
      <c r="Q62" s="389"/>
      <c r="R62" s="390"/>
      <c r="S62" s="391"/>
      <c r="T62" s="298"/>
      <c r="U62" s="292"/>
      <c r="V62" s="392"/>
      <c r="W62" s="296"/>
      <c r="Y62" s="146" t="str">
        <f>IF(P62="Long-Term",VLOOKUP(Q62,'Look-Ups-Mapping'!$A$2:$B$23,2,FALSE),IF('Investment Analysis'!P62="Short-Term",VLOOKUP('Investment Analysis'!Q62,'Look-Ups-Mapping'!$A$2:$B$23,2,FALSE),""))</f>
        <v/>
      </c>
      <c r="Z62" s="146" t="str">
        <f>IF(P62="Long-Term",VLOOKUP(R62,'Look-Ups-Mapping'!$D$2:$E$24,2,FALSE),IF('Investment Analysis'!P62="Short-Term",VLOOKUP('Investment Analysis'!R62,'Look-Ups-Mapping'!$D$2:$E$24,2,FALSE),""))</f>
        <v/>
      </c>
      <c r="AA62" s="146" t="str">
        <f>IF(P62="Long-Term",VLOOKUP(S62,'Look-Ups-Mapping'!$G$2:$H$22,2,FALSE),IF('Investment Analysis'!P62="Short-Term",VLOOKUP('Investment Analysis'!S62,'Look-Ups-Mapping'!$G$2:$H$22,2,FALSE),""))</f>
        <v/>
      </c>
      <c r="AB62" s="146" t="e" cm="1">
        <f t="array" ref="AB62">IF(AND(ISNA(Y62)=FALSE,ISNA(Z62)=FALSE,ISNA(AA62)=FALSE),SMALL(Y62:AA62,1),IF(AND(ISNA(Y62)=TRUE,ISNA(Z62)=FALSE,ISNA(AA62)=FALSE),SMALL(Z62:AA62,1),IF(AND(ISNA(Y62)=FALSE,ISNA(Z62)=TRUE,ISNA(AA62)=FALSE),MIN(Y62,AA62),IF(AND(ISNA(Y62)=FALSE,ISNA(Z62)=FALSE,ISNA(AA62)=TRUE),SMALL(Y62:Z62,1),IF(AND(ISNA(Y62)=TRUE,ISNA(Z62)=TRUE,ISNA(AA62)=FALSE),AA62,IF(AND(ISNA(Y62)=TRUE,ISNA(Z62)=FALSE,ISNA(AA62)=TRUE),Z62,IF(AND(ISNA(Y62)=FALSE,ISNA(Z62)=TRUE,ISNA(AA62)=TRUE),Y62,IF(AND(ISNA(Y62)=TRUE,ISNA(Z62)=TRUE,ISNA(AA62)=TRUE),N/A,N/A))))))))</f>
        <v>#NUM!</v>
      </c>
      <c r="AF62" s="146" t="str">
        <f>IF($P62="Short-Term",VLOOKUP(Q62,'Look-Ups-Mapping'!$J$2:$K$5,2,FALSE),"")</f>
        <v/>
      </c>
      <c r="AG62" s="146" t="str">
        <f>IF($P62="Short-Term",VLOOKUP(R62,'Look-Ups-Mapping'!$M$2:$N$8,2,FALSE),"")</f>
        <v/>
      </c>
      <c r="AH62" s="146" t="str">
        <f>IF($P62="Short-Term",VLOOKUP(S62,'Look-Ups-Mapping'!$P$2:$Q$8,2,FALSE),"")</f>
        <v/>
      </c>
      <c r="AI62" s="146" t="e" cm="1">
        <f t="array" ref="AI62">IF(AND(ISNA(AF62)=FALSE,ISNA(AG62)=FALSE,ISNA(AH62)=FALSE),SMALL(AF62:AH62,1),IF(AND(ISNA(AF62)=TRUE,ISNA(AG62)=FALSE,ISNA(AH62)=FALSE),SMALL(AG62:AH62,1),IF(AND(ISNA(AF62)=FALSE,ISNA(AG62)=TRUE,ISNA(AH62)=FALSE),MIN(AF62,AH62),IF(AND(ISNA(AF62)=FALSE,ISNA(AG62)=FALSE,ISNA(AH62)=TRUE),SMALL(AF62:AG62,1),IF(AND(ISNA(AF62)=TRUE,ISNA(AG62)=TRUE,ISNA(AH62)=FALSE),AH62,IF(AND(ISNA(AF62)=TRUE,ISNA(AG62)=FALSE,ISNA(AH62)=TRUE),AG62,IF(AND(ISNA(AF62)=FALSE,ISNA(AG62)=TRUE,ISNA(AH62)=TRUE),AF62,IF(AND(ISNA(AF62)=TRUE,ISNA(AG62)=TRUE,ISNA(AH62)=TRUE),N/A,N/A))))))))</f>
        <v>#NUM!</v>
      </c>
      <c r="AK62" s="147" t="e">
        <f>VLOOKUP(V62,'Look-Ups-Mapping'!$A$29:$B$33,2,FALSE)</f>
        <v>#N/A</v>
      </c>
      <c r="AN62" s="147" t="e">
        <f>VLOOKUP(T62,'Look-Ups-Mapping'!$F$34:$G$35,2,FALSE)</f>
        <v>#N/A</v>
      </c>
      <c r="AP62" s="147" t="e">
        <f>VLOOKUP(U62,'Look-Ups-Mapping'!$F$34:$G$35,2,FALSE)</f>
        <v>#N/A</v>
      </c>
    </row>
    <row r="63" spans="2:42" x14ac:dyDescent="0.25">
      <c r="B63" s="439"/>
      <c r="C63" s="131"/>
      <c r="D63" s="34"/>
      <c r="E63" s="230"/>
      <c r="F63" s="228"/>
      <c r="G63" s="41"/>
      <c r="H63" s="457"/>
      <c r="I63" s="463"/>
      <c r="J63" s="474" t="str">
        <f t="shared" si="11"/>
        <v>N/A</v>
      </c>
      <c r="K63" s="475" t="str">
        <f t="shared" si="6"/>
        <v/>
      </c>
      <c r="L63" s="41" t="str">
        <f t="shared" si="9"/>
        <v/>
      </c>
      <c r="M63" s="41" t="str">
        <f t="shared" si="7"/>
        <v/>
      </c>
      <c r="N63" s="41" t="str">
        <f t="shared" si="10"/>
        <v/>
      </c>
      <c r="O63" s="476" t="str">
        <f t="shared" si="8"/>
        <v/>
      </c>
      <c r="P63" s="388"/>
      <c r="Q63" s="389"/>
      <c r="R63" s="390"/>
      <c r="S63" s="391"/>
      <c r="T63" s="298"/>
      <c r="U63" s="292"/>
      <c r="V63" s="392"/>
      <c r="W63" s="296"/>
      <c r="Y63" s="146" t="str">
        <f>IF(P63="Long-Term",VLOOKUP(Q63,'Look-Ups-Mapping'!$A$2:$B$23,2,FALSE),IF('Investment Analysis'!P63="Short-Term",VLOOKUP('Investment Analysis'!Q63,'Look-Ups-Mapping'!$A$2:$B$23,2,FALSE),""))</f>
        <v/>
      </c>
      <c r="Z63" s="146" t="str">
        <f>IF(P63="Long-Term",VLOOKUP(R63,'Look-Ups-Mapping'!$D$2:$E$24,2,FALSE),IF('Investment Analysis'!P63="Short-Term",VLOOKUP('Investment Analysis'!R63,'Look-Ups-Mapping'!$D$2:$E$24,2,FALSE),""))</f>
        <v/>
      </c>
      <c r="AA63" s="146" t="str">
        <f>IF(P63="Long-Term",VLOOKUP(S63,'Look-Ups-Mapping'!$G$2:$H$22,2,FALSE),IF('Investment Analysis'!P63="Short-Term",VLOOKUP('Investment Analysis'!S63,'Look-Ups-Mapping'!$G$2:$H$22,2,FALSE),""))</f>
        <v/>
      </c>
      <c r="AB63" s="146" t="e" cm="1">
        <f t="array" ref="AB63">IF(AND(ISNA(Y63)=FALSE,ISNA(Z63)=FALSE,ISNA(AA63)=FALSE),SMALL(Y63:AA63,1),IF(AND(ISNA(Y63)=TRUE,ISNA(Z63)=FALSE,ISNA(AA63)=FALSE),SMALL(Z63:AA63,1),IF(AND(ISNA(Y63)=FALSE,ISNA(Z63)=TRUE,ISNA(AA63)=FALSE),MIN(Y63,AA63),IF(AND(ISNA(Y63)=FALSE,ISNA(Z63)=FALSE,ISNA(AA63)=TRUE),SMALL(Y63:Z63,1),IF(AND(ISNA(Y63)=TRUE,ISNA(Z63)=TRUE,ISNA(AA63)=FALSE),AA63,IF(AND(ISNA(Y63)=TRUE,ISNA(Z63)=FALSE,ISNA(AA63)=TRUE),Z63,IF(AND(ISNA(Y63)=FALSE,ISNA(Z63)=TRUE,ISNA(AA63)=TRUE),Y63,IF(AND(ISNA(Y63)=TRUE,ISNA(Z63)=TRUE,ISNA(AA63)=TRUE),N/A,N/A))))))))</f>
        <v>#NUM!</v>
      </c>
      <c r="AF63" s="146" t="str">
        <f>IF($P63="Short-Term",VLOOKUP(Q63,'Look-Ups-Mapping'!$J$2:$K$5,2,FALSE),"")</f>
        <v/>
      </c>
      <c r="AG63" s="146" t="str">
        <f>IF($P63="Short-Term",VLOOKUP(R63,'Look-Ups-Mapping'!$M$2:$N$8,2,FALSE),"")</f>
        <v/>
      </c>
      <c r="AH63" s="146" t="str">
        <f>IF($P63="Short-Term",VLOOKUP(S63,'Look-Ups-Mapping'!$P$2:$Q$8,2,FALSE),"")</f>
        <v/>
      </c>
      <c r="AI63" s="146" t="e" cm="1">
        <f t="array" ref="AI63">IF(AND(ISNA(AF63)=FALSE,ISNA(AG63)=FALSE,ISNA(AH63)=FALSE),SMALL(AF63:AH63,1),IF(AND(ISNA(AF63)=TRUE,ISNA(AG63)=FALSE,ISNA(AH63)=FALSE),SMALL(AG63:AH63,1),IF(AND(ISNA(AF63)=FALSE,ISNA(AG63)=TRUE,ISNA(AH63)=FALSE),MIN(AF63,AH63),IF(AND(ISNA(AF63)=FALSE,ISNA(AG63)=FALSE,ISNA(AH63)=TRUE),SMALL(AF63:AG63,1),IF(AND(ISNA(AF63)=TRUE,ISNA(AG63)=TRUE,ISNA(AH63)=FALSE),AH63,IF(AND(ISNA(AF63)=TRUE,ISNA(AG63)=FALSE,ISNA(AH63)=TRUE),AG63,IF(AND(ISNA(AF63)=FALSE,ISNA(AG63)=TRUE,ISNA(AH63)=TRUE),AF63,IF(AND(ISNA(AF63)=TRUE,ISNA(AG63)=TRUE,ISNA(AH63)=TRUE),N/A,N/A))))))))</f>
        <v>#NUM!</v>
      </c>
      <c r="AK63" s="147" t="e">
        <f>VLOOKUP(V63,'Look-Ups-Mapping'!$A$29:$B$33,2,FALSE)</f>
        <v>#N/A</v>
      </c>
      <c r="AN63" s="147" t="e">
        <f>VLOOKUP(T63,'Look-Ups-Mapping'!$F$34:$G$35,2,FALSE)</f>
        <v>#N/A</v>
      </c>
      <c r="AP63" s="147" t="e">
        <f>VLOOKUP(U63,'Look-Ups-Mapping'!$F$34:$G$35,2,FALSE)</f>
        <v>#N/A</v>
      </c>
    </row>
    <row r="64" spans="2:42" x14ac:dyDescent="0.25">
      <c r="B64" s="439"/>
      <c r="C64" s="131"/>
      <c r="D64" s="34"/>
      <c r="E64" s="230"/>
      <c r="F64" s="228"/>
      <c r="G64" s="41"/>
      <c r="H64" s="457"/>
      <c r="I64" s="463"/>
      <c r="J64" s="474" t="str">
        <f t="shared" si="11"/>
        <v>N/A</v>
      </c>
      <c r="K64" s="475" t="str">
        <f t="shared" si="6"/>
        <v/>
      </c>
      <c r="L64" s="41" t="str">
        <f t="shared" si="9"/>
        <v/>
      </c>
      <c r="M64" s="41" t="str">
        <f t="shared" si="7"/>
        <v/>
      </c>
      <c r="N64" s="41" t="str">
        <f t="shared" si="10"/>
        <v/>
      </c>
      <c r="O64" s="476" t="str">
        <f t="shared" si="8"/>
        <v/>
      </c>
      <c r="P64" s="388"/>
      <c r="Q64" s="389"/>
      <c r="R64" s="390"/>
      <c r="S64" s="391"/>
      <c r="T64" s="298"/>
      <c r="U64" s="292"/>
      <c r="V64" s="392"/>
      <c r="W64" s="296"/>
      <c r="Y64" s="146" t="str">
        <f>IF(P64="Long-Term",VLOOKUP(Q64,'Look-Ups-Mapping'!$A$2:$B$23,2,FALSE),IF('Investment Analysis'!P64="Short-Term",VLOOKUP('Investment Analysis'!Q64,'Look-Ups-Mapping'!$A$2:$B$23,2,FALSE),""))</f>
        <v/>
      </c>
      <c r="Z64" s="146" t="str">
        <f>IF(P64="Long-Term",VLOOKUP(R64,'Look-Ups-Mapping'!$D$2:$E$24,2,FALSE),IF('Investment Analysis'!P64="Short-Term",VLOOKUP('Investment Analysis'!R64,'Look-Ups-Mapping'!$D$2:$E$24,2,FALSE),""))</f>
        <v/>
      </c>
      <c r="AA64" s="146" t="str">
        <f>IF(P64="Long-Term",VLOOKUP(S64,'Look-Ups-Mapping'!$G$2:$H$22,2,FALSE),IF('Investment Analysis'!P64="Short-Term",VLOOKUP('Investment Analysis'!S64,'Look-Ups-Mapping'!$G$2:$H$22,2,FALSE),""))</f>
        <v/>
      </c>
      <c r="AB64" s="146" t="e" cm="1">
        <f t="array" ref="AB64">IF(AND(ISNA(Y64)=FALSE,ISNA(Z64)=FALSE,ISNA(AA64)=FALSE),SMALL(Y64:AA64,1),IF(AND(ISNA(Y64)=TRUE,ISNA(Z64)=FALSE,ISNA(AA64)=FALSE),SMALL(Z64:AA64,1),IF(AND(ISNA(Y64)=FALSE,ISNA(Z64)=TRUE,ISNA(AA64)=FALSE),MIN(Y64,AA64),IF(AND(ISNA(Y64)=FALSE,ISNA(Z64)=FALSE,ISNA(AA64)=TRUE),SMALL(Y64:Z64,1),IF(AND(ISNA(Y64)=TRUE,ISNA(Z64)=TRUE,ISNA(AA64)=FALSE),AA64,IF(AND(ISNA(Y64)=TRUE,ISNA(Z64)=FALSE,ISNA(AA64)=TRUE),Z64,IF(AND(ISNA(Y64)=FALSE,ISNA(Z64)=TRUE,ISNA(AA64)=TRUE),Y64,IF(AND(ISNA(Y64)=TRUE,ISNA(Z64)=TRUE,ISNA(AA64)=TRUE),N/A,N/A))))))))</f>
        <v>#NUM!</v>
      </c>
      <c r="AF64" s="146" t="str">
        <f>IF($P64="Short-Term",VLOOKUP(Q64,'Look-Ups-Mapping'!$J$2:$K$5,2,FALSE),"")</f>
        <v/>
      </c>
      <c r="AG64" s="146" t="str">
        <f>IF($P64="Short-Term",VLOOKUP(R64,'Look-Ups-Mapping'!$M$2:$N$8,2,FALSE),"")</f>
        <v/>
      </c>
      <c r="AH64" s="146" t="str">
        <f>IF($P64="Short-Term",VLOOKUP(S64,'Look-Ups-Mapping'!$P$2:$Q$8,2,FALSE),"")</f>
        <v/>
      </c>
      <c r="AI64" s="146" t="e" cm="1">
        <f t="array" ref="AI64">IF(AND(ISNA(AF64)=FALSE,ISNA(AG64)=FALSE,ISNA(AH64)=FALSE),SMALL(AF64:AH64,1),IF(AND(ISNA(AF64)=TRUE,ISNA(AG64)=FALSE,ISNA(AH64)=FALSE),SMALL(AG64:AH64,1),IF(AND(ISNA(AF64)=FALSE,ISNA(AG64)=TRUE,ISNA(AH64)=FALSE),MIN(AF64,AH64),IF(AND(ISNA(AF64)=FALSE,ISNA(AG64)=FALSE,ISNA(AH64)=TRUE),SMALL(AF64:AG64,1),IF(AND(ISNA(AF64)=TRUE,ISNA(AG64)=TRUE,ISNA(AH64)=FALSE),AH64,IF(AND(ISNA(AF64)=TRUE,ISNA(AG64)=FALSE,ISNA(AH64)=TRUE),AG64,IF(AND(ISNA(AF64)=FALSE,ISNA(AG64)=TRUE,ISNA(AH64)=TRUE),AF64,IF(AND(ISNA(AF64)=TRUE,ISNA(AG64)=TRUE,ISNA(AH64)=TRUE),N/A,N/A))))))))</f>
        <v>#NUM!</v>
      </c>
      <c r="AK64" s="147" t="e">
        <f>VLOOKUP(V64,'Look-Ups-Mapping'!$A$29:$B$33,2,FALSE)</f>
        <v>#N/A</v>
      </c>
      <c r="AN64" s="147" t="e">
        <f>VLOOKUP(T64,'Look-Ups-Mapping'!$F$34:$G$35,2,FALSE)</f>
        <v>#N/A</v>
      </c>
      <c r="AP64" s="147" t="e">
        <f>VLOOKUP(U64,'Look-Ups-Mapping'!$F$34:$G$35,2,FALSE)</f>
        <v>#N/A</v>
      </c>
    </row>
    <row r="65" spans="2:42" x14ac:dyDescent="0.25">
      <c r="B65" s="439"/>
      <c r="C65" s="131"/>
      <c r="D65" s="34"/>
      <c r="E65" s="230"/>
      <c r="F65" s="228"/>
      <c r="G65" s="41"/>
      <c r="H65" s="457"/>
      <c r="I65" s="463"/>
      <c r="J65" s="474" t="str">
        <f t="shared" si="11"/>
        <v>N/A</v>
      </c>
      <c r="K65" s="475" t="str">
        <f t="shared" si="6"/>
        <v/>
      </c>
      <c r="L65" s="41" t="str">
        <f t="shared" si="9"/>
        <v/>
      </c>
      <c r="M65" s="41" t="str">
        <f t="shared" si="7"/>
        <v/>
      </c>
      <c r="N65" s="41" t="str">
        <f t="shared" si="10"/>
        <v/>
      </c>
      <c r="O65" s="476" t="str">
        <f t="shared" si="8"/>
        <v/>
      </c>
      <c r="P65" s="388"/>
      <c r="Q65" s="389"/>
      <c r="R65" s="390"/>
      <c r="S65" s="391"/>
      <c r="T65" s="298"/>
      <c r="U65" s="292"/>
      <c r="V65" s="392"/>
      <c r="W65" s="296"/>
      <c r="Y65" s="146" t="str">
        <f>IF(P65="Long-Term",VLOOKUP(Q65,'Look-Ups-Mapping'!$A$2:$B$23,2,FALSE),IF('Investment Analysis'!P65="Short-Term",VLOOKUP('Investment Analysis'!Q65,'Look-Ups-Mapping'!$A$2:$B$23,2,FALSE),""))</f>
        <v/>
      </c>
      <c r="Z65" s="146" t="str">
        <f>IF(P65="Long-Term",VLOOKUP(R65,'Look-Ups-Mapping'!$D$2:$E$24,2,FALSE),IF('Investment Analysis'!P65="Short-Term",VLOOKUP('Investment Analysis'!R65,'Look-Ups-Mapping'!$D$2:$E$24,2,FALSE),""))</f>
        <v/>
      </c>
      <c r="AA65" s="146" t="str">
        <f>IF(P65="Long-Term",VLOOKUP(S65,'Look-Ups-Mapping'!$G$2:$H$22,2,FALSE),IF('Investment Analysis'!P65="Short-Term",VLOOKUP('Investment Analysis'!S65,'Look-Ups-Mapping'!$G$2:$H$22,2,FALSE),""))</f>
        <v/>
      </c>
      <c r="AB65" s="146" t="e" cm="1">
        <f t="array" ref="AB65">IF(AND(ISNA(Y65)=FALSE,ISNA(Z65)=FALSE,ISNA(AA65)=FALSE),SMALL(Y65:AA65,1),IF(AND(ISNA(Y65)=TRUE,ISNA(Z65)=FALSE,ISNA(AA65)=FALSE),SMALL(Z65:AA65,1),IF(AND(ISNA(Y65)=FALSE,ISNA(Z65)=TRUE,ISNA(AA65)=FALSE),MIN(Y65,AA65),IF(AND(ISNA(Y65)=FALSE,ISNA(Z65)=FALSE,ISNA(AA65)=TRUE),SMALL(Y65:Z65,1),IF(AND(ISNA(Y65)=TRUE,ISNA(Z65)=TRUE,ISNA(AA65)=FALSE),AA65,IF(AND(ISNA(Y65)=TRUE,ISNA(Z65)=FALSE,ISNA(AA65)=TRUE),Z65,IF(AND(ISNA(Y65)=FALSE,ISNA(Z65)=TRUE,ISNA(AA65)=TRUE),Y65,IF(AND(ISNA(Y65)=TRUE,ISNA(Z65)=TRUE,ISNA(AA65)=TRUE),N/A,N/A))))))))</f>
        <v>#NUM!</v>
      </c>
      <c r="AF65" s="146" t="str">
        <f>IF($P65="Short-Term",VLOOKUP(Q65,'Look-Ups-Mapping'!$J$2:$K$5,2,FALSE),"")</f>
        <v/>
      </c>
      <c r="AG65" s="146" t="str">
        <f>IF($P65="Short-Term",VLOOKUP(R65,'Look-Ups-Mapping'!$M$2:$N$8,2,FALSE),"")</f>
        <v/>
      </c>
      <c r="AH65" s="146" t="str">
        <f>IF($P65="Short-Term",VLOOKUP(S65,'Look-Ups-Mapping'!$P$2:$Q$8,2,FALSE),"")</f>
        <v/>
      </c>
      <c r="AI65" s="146" t="e" cm="1">
        <f t="array" ref="AI65">IF(AND(ISNA(AF65)=FALSE,ISNA(AG65)=FALSE,ISNA(AH65)=FALSE),SMALL(AF65:AH65,1),IF(AND(ISNA(AF65)=TRUE,ISNA(AG65)=FALSE,ISNA(AH65)=FALSE),SMALL(AG65:AH65,1),IF(AND(ISNA(AF65)=FALSE,ISNA(AG65)=TRUE,ISNA(AH65)=FALSE),MIN(AF65,AH65),IF(AND(ISNA(AF65)=FALSE,ISNA(AG65)=FALSE,ISNA(AH65)=TRUE),SMALL(AF65:AG65,1),IF(AND(ISNA(AF65)=TRUE,ISNA(AG65)=TRUE,ISNA(AH65)=FALSE),AH65,IF(AND(ISNA(AF65)=TRUE,ISNA(AG65)=FALSE,ISNA(AH65)=TRUE),AG65,IF(AND(ISNA(AF65)=FALSE,ISNA(AG65)=TRUE,ISNA(AH65)=TRUE),AF65,IF(AND(ISNA(AF65)=TRUE,ISNA(AG65)=TRUE,ISNA(AH65)=TRUE),N/A,N/A))))))))</f>
        <v>#NUM!</v>
      </c>
      <c r="AK65" s="147" t="e">
        <f>VLOOKUP(V65,'Look-Ups-Mapping'!$A$29:$B$33,2,FALSE)</f>
        <v>#N/A</v>
      </c>
      <c r="AN65" s="147" t="e">
        <f>VLOOKUP(T65,'Look-Ups-Mapping'!$F$34:$G$35,2,FALSE)</f>
        <v>#N/A</v>
      </c>
      <c r="AP65" s="147" t="e">
        <f>VLOOKUP(U65,'Look-Ups-Mapping'!$F$34:$G$35,2,FALSE)</f>
        <v>#N/A</v>
      </c>
    </row>
    <row r="66" spans="2:42" x14ac:dyDescent="0.25">
      <c r="B66" s="438"/>
      <c r="C66" s="34"/>
      <c r="D66" s="34"/>
      <c r="E66" s="230"/>
      <c r="F66" s="228"/>
      <c r="G66" s="41"/>
      <c r="H66" s="457"/>
      <c r="I66" s="463"/>
      <c r="J66" s="474" t="str">
        <f t="shared" si="11"/>
        <v>N/A</v>
      </c>
      <c r="K66" s="475" t="str">
        <f t="shared" si="6"/>
        <v/>
      </c>
      <c r="L66" s="41" t="str">
        <f t="shared" si="9"/>
        <v/>
      </c>
      <c r="M66" s="41" t="str">
        <f t="shared" si="7"/>
        <v/>
      </c>
      <c r="N66" s="41" t="str">
        <f t="shared" si="10"/>
        <v/>
      </c>
      <c r="O66" s="476" t="str">
        <f t="shared" si="8"/>
        <v/>
      </c>
      <c r="P66" s="388"/>
      <c r="Q66" s="389"/>
      <c r="R66" s="390"/>
      <c r="S66" s="391"/>
      <c r="T66" s="298"/>
      <c r="U66" s="292"/>
      <c r="V66" s="392"/>
      <c r="W66" s="296"/>
      <c r="Y66" s="146" t="str">
        <f>IF(P66="Long-Term",VLOOKUP(Q66,'Look-Ups-Mapping'!$A$2:$B$23,2,FALSE),IF('Investment Analysis'!P66="Short-Term",VLOOKUP('Investment Analysis'!Q66,'Look-Ups-Mapping'!$A$2:$B$23,2,FALSE),""))</f>
        <v/>
      </c>
      <c r="Z66" s="146" t="str">
        <f>IF(P66="Long-Term",VLOOKUP(R66,'Look-Ups-Mapping'!$D$2:$E$24,2,FALSE),IF('Investment Analysis'!P66="Short-Term",VLOOKUP('Investment Analysis'!R66,'Look-Ups-Mapping'!$D$2:$E$24,2,FALSE),""))</f>
        <v/>
      </c>
      <c r="AA66" s="146" t="str">
        <f>IF(P66="Long-Term",VLOOKUP(S66,'Look-Ups-Mapping'!$G$2:$H$22,2,FALSE),IF('Investment Analysis'!P66="Short-Term",VLOOKUP('Investment Analysis'!S66,'Look-Ups-Mapping'!$G$2:$H$22,2,FALSE),""))</f>
        <v/>
      </c>
      <c r="AB66" s="146" t="e" cm="1">
        <f t="array" ref="AB66">IF(AND(ISNA(Y66)=FALSE,ISNA(Z66)=FALSE,ISNA(AA66)=FALSE),SMALL(Y66:AA66,1),IF(AND(ISNA(Y66)=TRUE,ISNA(Z66)=FALSE,ISNA(AA66)=FALSE),SMALL(Z66:AA66,1),IF(AND(ISNA(Y66)=FALSE,ISNA(Z66)=TRUE,ISNA(AA66)=FALSE),MIN(Y66,AA66),IF(AND(ISNA(Y66)=FALSE,ISNA(Z66)=FALSE,ISNA(AA66)=TRUE),SMALL(Y66:Z66,1),IF(AND(ISNA(Y66)=TRUE,ISNA(Z66)=TRUE,ISNA(AA66)=FALSE),AA66,IF(AND(ISNA(Y66)=TRUE,ISNA(Z66)=FALSE,ISNA(AA66)=TRUE),Z66,IF(AND(ISNA(Y66)=FALSE,ISNA(Z66)=TRUE,ISNA(AA66)=TRUE),Y66,IF(AND(ISNA(Y66)=TRUE,ISNA(Z66)=TRUE,ISNA(AA66)=TRUE),N/A,N/A))))))))</f>
        <v>#NUM!</v>
      </c>
      <c r="AF66" s="146" t="str">
        <f>IF($P66="Short-Term",VLOOKUP(Q66,'Look-Ups-Mapping'!$J$2:$K$5,2,FALSE),"")</f>
        <v/>
      </c>
      <c r="AG66" s="146" t="str">
        <f>IF($P66="Short-Term",VLOOKUP(R66,'Look-Ups-Mapping'!$M$2:$N$8,2,FALSE),"")</f>
        <v/>
      </c>
      <c r="AH66" s="146" t="str">
        <f>IF($P66="Short-Term",VLOOKUP(S66,'Look-Ups-Mapping'!$P$2:$Q$8,2,FALSE),"")</f>
        <v/>
      </c>
      <c r="AI66" s="146" t="e" cm="1">
        <f t="array" ref="AI66">IF(AND(ISNA(AF66)=FALSE,ISNA(AG66)=FALSE,ISNA(AH66)=FALSE),SMALL(AF66:AH66,1),IF(AND(ISNA(AF66)=TRUE,ISNA(AG66)=FALSE,ISNA(AH66)=FALSE),SMALL(AG66:AH66,1),IF(AND(ISNA(AF66)=FALSE,ISNA(AG66)=TRUE,ISNA(AH66)=FALSE),MIN(AF66,AH66),IF(AND(ISNA(AF66)=FALSE,ISNA(AG66)=FALSE,ISNA(AH66)=TRUE),SMALL(AF66:AG66,1),IF(AND(ISNA(AF66)=TRUE,ISNA(AG66)=TRUE,ISNA(AH66)=FALSE),AH66,IF(AND(ISNA(AF66)=TRUE,ISNA(AG66)=FALSE,ISNA(AH66)=TRUE),AG66,IF(AND(ISNA(AF66)=FALSE,ISNA(AG66)=TRUE,ISNA(AH66)=TRUE),AF66,IF(AND(ISNA(AF66)=TRUE,ISNA(AG66)=TRUE,ISNA(AH66)=TRUE),N/A,N/A))))))))</f>
        <v>#NUM!</v>
      </c>
      <c r="AK66" s="147" t="e">
        <f>VLOOKUP(V66,'Look-Ups-Mapping'!$A$29:$B$33,2,FALSE)</f>
        <v>#N/A</v>
      </c>
      <c r="AN66" s="147" t="e">
        <f>VLOOKUP(T66,'Look-Ups-Mapping'!$F$34:$G$35,2,FALSE)</f>
        <v>#N/A</v>
      </c>
      <c r="AP66" s="147" t="e">
        <f>VLOOKUP(U66,'Look-Ups-Mapping'!$F$34:$G$35,2,FALSE)</f>
        <v>#N/A</v>
      </c>
    </row>
    <row r="67" spans="2:42" x14ac:dyDescent="0.25">
      <c r="B67" s="438"/>
      <c r="C67" s="34"/>
      <c r="D67" s="34"/>
      <c r="E67" s="230"/>
      <c r="F67" s="228"/>
      <c r="G67" s="41"/>
      <c r="H67" s="457"/>
      <c r="I67" s="463"/>
      <c r="J67" s="474" t="str">
        <f t="shared" si="11"/>
        <v>N/A</v>
      </c>
      <c r="K67" s="475" t="str">
        <f t="shared" si="6"/>
        <v/>
      </c>
      <c r="L67" s="41" t="str">
        <f t="shared" si="9"/>
        <v/>
      </c>
      <c r="M67" s="41" t="str">
        <f t="shared" si="7"/>
        <v/>
      </c>
      <c r="N67" s="41" t="str">
        <f t="shared" si="10"/>
        <v/>
      </c>
      <c r="O67" s="476" t="str">
        <f t="shared" si="8"/>
        <v/>
      </c>
      <c r="P67" s="388"/>
      <c r="Q67" s="389"/>
      <c r="R67" s="390"/>
      <c r="S67" s="391"/>
      <c r="T67" s="298"/>
      <c r="U67" s="292"/>
      <c r="V67" s="392"/>
      <c r="W67" s="296"/>
      <c r="Y67" s="146" t="str">
        <f>IF(P67="Long-Term",VLOOKUP(Q67,'Look-Ups-Mapping'!$A$2:$B$23,2,FALSE),IF('Investment Analysis'!P67="Short-Term",VLOOKUP('Investment Analysis'!Q67,'Look-Ups-Mapping'!$A$2:$B$23,2,FALSE),""))</f>
        <v/>
      </c>
      <c r="Z67" s="146" t="str">
        <f>IF(P67="Long-Term",VLOOKUP(R67,'Look-Ups-Mapping'!$D$2:$E$24,2,FALSE),IF('Investment Analysis'!P67="Short-Term",VLOOKUP('Investment Analysis'!R67,'Look-Ups-Mapping'!$D$2:$E$24,2,FALSE),""))</f>
        <v/>
      </c>
      <c r="AA67" s="146" t="str">
        <f>IF(P67="Long-Term",VLOOKUP(S67,'Look-Ups-Mapping'!$G$2:$H$22,2,FALSE),IF('Investment Analysis'!P67="Short-Term",VLOOKUP('Investment Analysis'!S67,'Look-Ups-Mapping'!$G$2:$H$22,2,FALSE),""))</f>
        <v/>
      </c>
      <c r="AB67" s="146" t="e" cm="1">
        <f t="array" ref="AB67">IF(AND(ISNA(Y67)=FALSE,ISNA(Z67)=FALSE,ISNA(AA67)=FALSE),SMALL(Y67:AA67,1),IF(AND(ISNA(Y67)=TRUE,ISNA(Z67)=FALSE,ISNA(AA67)=FALSE),SMALL(Z67:AA67,1),IF(AND(ISNA(Y67)=FALSE,ISNA(Z67)=TRUE,ISNA(AA67)=FALSE),MIN(Y67,AA67),IF(AND(ISNA(Y67)=FALSE,ISNA(Z67)=FALSE,ISNA(AA67)=TRUE),SMALL(Y67:Z67,1),IF(AND(ISNA(Y67)=TRUE,ISNA(Z67)=TRUE,ISNA(AA67)=FALSE),AA67,IF(AND(ISNA(Y67)=TRUE,ISNA(Z67)=FALSE,ISNA(AA67)=TRUE),Z67,IF(AND(ISNA(Y67)=FALSE,ISNA(Z67)=TRUE,ISNA(AA67)=TRUE),Y67,IF(AND(ISNA(Y67)=TRUE,ISNA(Z67)=TRUE,ISNA(AA67)=TRUE),N/A,N/A))))))))</f>
        <v>#NUM!</v>
      </c>
      <c r="AF67" s="146" t="str">
        <f>IF($P67="Short-Term",VLOOKUP(Q67,'Look-Ups-Mapping'!$J$2:$K$5,2,FALSE),"")</f>
        <v/>
      </c>
      <c r="AG67" s="146" t="str">
        <f>IF($P67="Short-Term",VLOOKUP(R67,'Look-Ups-Mapping'!$M$2:$N$8,2,FALSE),"")</f>
        <v/>
      </c>
      <c r="AH67" s="146" t="str">
        <f>IF($P67="Short-Term",VLOOKUP(S67,'Look-Ups-Mapping'!$P$2:$Q$8,2,FALSE),"")</f>
        <v/>
      </c>
      <c r="AI67" s="146" t="e" cm="1">
        <f t="array" ref="AI67">IF(AND(ISNA(AF67)=FALSE,ISNA(AG67)=FALSE,ISNA(AH67)=FALSE),SMALL(AF67:AH67,1),IF(AND(ISNA(AF67)=TRUE,ISNA(AG67)=FALSE,ISNA(AH67)=FALSE),SMALL(AG67:AH67,1),IF(AND(ISNA(AF67)=FALSE,ISNA(AG67)=TRUE,ISNA(AH67)=FALSE),MIN(AF67,AH67),IF(AND(ISNA(AF67)=FALSE,ISNA(AG67)=FALSE,ISNA(AH67)=TRUE),SMALL(AF67:AG67,1),IF(AND(ISNA(AF67)=TRUE,ISNA(AG67)=TRUE,ISNA(AH67)=FALSE),AH67,IF(AND(ISNA(AF67)=TRUE,ISNA(AG67)=FALSE,ISNA(AH67)=TRUE),AG67,IF(AND(ISNA(AF67)=FALSE,ISNA(AG67)=TRUE,ISNA(AH67)=TRUE),AF67,IF(AND(ISNA(AF67)=TRUE,ISNA(AG67)=TRUE,ISNA(AH67)=TRUE),N/A,N/A))))))))</f>
        <v>#NUM!</v>
      </c>
      <c r="AK67" s="147" t="e">
        <f>VLOOKUP(V67,'Look-Ups-Mapping'!$A$29:$B$33,2,FALSE)</f>
        <v>#N/A</v>
      </c>
      <c r="AN67" s="147" t="e">
        <f>VLOOKUP(T67,'Look-Ups-Mapping'!$F$34:$G$35,2,FALSE)</f>
        <v>#N/A</v>
      </c>
      <c r="AP67" s="147" t="e">
        <f>VLOOKUP(U67,'Look-Ups-Mapping'!$F$34:$G$35,2,FALSE)</f>
        <v>#N/A</v>
      </c>
    </row>
    <row r="68" spans="2:42" x14ac:dyDescent="0.25">
      <c r="B68" s="438"/>
      <c r="C68" s="34"/>
      <c r="D68" s="34"/>
      <c r="E68" s="230"/>
      <c r="F68" s="228"/>
      <c r="G68" s="41"/>
      <c r="H68" s="457"/>
      <c r="I68" s="463"/>
      <c r="J68" s="474" t="str">
        <f t="shared" si="11"/>
        <v>N/A</v>
      </c>
      <c r="K68" s="475" t="str">
        <f t="shared" si="6"/>
        <v/>
      </c>
      <c r="L68" s="41" t="str">
        <f t="shared" si="9"/>
        <v/>
      </c>
      <c r="M68" s="41" t="str">
        <f t="shared" si="7"/>
        <v/>
      </c>
      <c r="N68" s="41" t="str">
        <f t="shared" si="10"/>
        <v/>
      </c>
      <c r="O68" s="476" t="str">
        <f t="shared" si="8"/>
        <v/>
      </c>
      <c r="P68" s="388"/>
      <c r="Q68" s="389"/>
      <c r="R68" s="390"/>
      <c r="S68" s="391"/>
      <c r="T68" s="298"/>
      <c r="U68" s="292"/>
      <c r="V68" s="392"/>
      <c r="W68" s="296"/>
      <c r="Y68" s="146" t="str">
        <f>IF(P68="Long-Term",VLOOKUP(Q68,'Look-Ups-Mapping'!$A$2:$B$23,2,FALSE),IF('Investment Analysis'!P68="Short-Term",VLOOKUP('Investment Analysis'!Q68,'Look-Ups-Mapping'!$A$2:$B$23,2,FALSE),""))</f>
        <v/>
      </c>
      <c r="Z68" s="146" t="str">
        <f>IF(P68="Long-Term",VLOOKUP(R68,'Look-Ups-Mapping'!$D$2:$E$24,2,FALSE),IF('Investment Analysis'!P68="Short-Term",VLOOKUP('Investment Analysis'!R68,'Look-Ups-Mapping'!$D$2:$E$24,2,FALSE),""))</f>
        <v/>
      </c>
      <c r="AA68" s="146" t="str">
        <f>IF(P68="Long-Term",VLOOKUP(S68,'Look-Ups-Mapping'!$G$2:$H$22,2,FALSE),IF('Investment Analysis'!P68="Short-Term",VLOOKUP('Investment Analysis'!S68,'Look-Ups-Mapping'!$G$2:$H$22,2,FALSE),""))</f>
        <v/>
      </c>
      <c r="AB68" s="146" t="e" cm="1">
        <f t="array" ref="AB68">IF(AND(ISNA(Y68)=FALSE,ISNA(Z68)=FALSE,ISNA(AA68)=FALSE),SMALL(Y68:AA68,1),IF(AND(ISNA(Y68)=TRUE,ISNA(Z68)=FALSE,ISNA(AA68)=FALSE),SMALL(Z68:AA68,1),IF(AND(ISNA(Y68)=FALSE,ISNA(Z68)=TRUE,ISNA(AA68)=FALSE),MIN(Y68,AA68),IF(AND(ISNA(Y68)=FALSE,ISNA(Z68)=FALSE,ISNA(AA68)=TRUE),SMALL(Y68:Z68,1),IF(AND(ISNA(Y68)=TRUE,ISNA(Z68)=TRUE,ISNA(AA68)=FALSE),AA68,IF(AND(ISNA(Y68)=TRUE,ISNA(Z68)=FALSE,ISNA(AA68)=TRUE),Z68,IF(AND(ISNA(Y68)=FALSE,ISNA(Z68)=TRUE,ISNA(AA68)=TRUE),Y68,IF(AND(ISNA(Y68)=TRUE,ISNA(Z68)=TRUE,ISNA(AA68)=TRUE),N/A,N/A))))))))</f>
        <v>#NUM!</v>
      </c>
      <c r="AF68" s="146" t="str">
        <f>IF($P68="Short-Term",VLOOKUP(Q68,'Look-Ups-Mapping'!$J$2:$K$5,2,FALSE),"")</f>
        <v/>
      </c>
      <c r="AG68" s="146" t="str">
        <f>IF($P68="Short-Term",VLOOKUP(R68,'Look-Ups-Mapping'!$M$2:$N$8,2,FALSE),"")</f>
        <v/>
      </c>
      <c r="AH68" s="146" t="str">
        <f>IF($P68="Short-Term",VLOOKUP(S68,'Look-Ups-Mapping'!$P$2:$Q$8,2,FALSE),"")</f>
        <v/>
      </c>
      <c r="AI68" s="146" t="e" cm="1">
        <f t="array" ref="AI68">IF(AND(ISNA(AF68)=FALSE,ISNA(AG68)=FALSE,ISNA(AH68)=FALSE),SMALL(AF68:AH68,1),IF(AND(ISNA(AF68)=TRUE,ISNA(AG68)=FALSE,ISNA(AH68)=FALSE),SMALL(AG68:AH68,1),IF(AND(ISNA(AF68)=FALSE,ISNA(AG68)=TRUE,ISNA(AH68)=FALSE),MIN(AF68,AH68),IF(AND(ISNA(AF68)=FALSE,ISNA(AG68)=FALSE,ISNA(AH68)=TRUE),SMALL(AF68:AG68,1),IF(AND(ISNA(AF68)=TRUE,ISNA(AG68)=TRUE,ISNA(AH68)=FALSE),AH68,IF(AND(ISNA(AF68)=TRUE,ISNA(AG68)=FALSE,ISNA(AH68)=TRUE),AG68,IF(AND(ISNA(AF68)=FALSE,ISNA(AG68)=TRUE,ISNA(AH68)=TRUE),AF68,IF(AND(ISNA(AF68)=TRUE,ISNA(AG68)=TRUE,ISNA(AH68)=TRUE),N/A,N/A))))))))</f>
        <v>#NUM!</v>
      </c>
      <c r="AK68" s="147" t="e">
        <f>VLOOKUP(V68,'Look-Ups-Mapping'!$A$29:$B$33,2,FALSE)</f>
        <v>#N/A</v>
      </c>
      <c r="AN68" s="147" t="e">
        <f>VLOOKUP(T68,'Look-Ups-Mapping'!$F$34:$G$35,2,FALSE)</f>
        <v>#N/A</v>
      </c>
      <c r="AP68" s="147" t="e">
        <f>VLOOKUP(U68,'Look-Ups-Mapping'!$F$34:$G$35,2,FALSE)</f>
        <v>#N/A</v>
      </c>
    </row>
    <row r="69" spans="2:42" ht="13.8" thickBot="1" x14ac:dyDescent="0.3">
      <c r="B69" s="440"/>
      <c r="C69" s="441"/>
      <c r="D69" s="441"/>
      <c r="E69" s="442"/>
      <c r="F69" s="443"/>
      <c r="G69" s="444"/>
      <c r="H69" s="458"/>
      <c r="I69" s="394"/>
      <c r="J69" s="477" t="str">
        <f t="shared" si="11"/>
        <v>N/A</v>
      </c>
      <c r="K69" s="478" t="str">
        <f t="shared" si="6"/>
        <v/>
      </c>
      <c r="L69" s="444" t="str">
        <f t="shared" si="9"/>
        <v/>
      </c>
      <c r="M69" s="444" t="str">
        <f t="shared" si="7"/>
        <v/>
      </c>
      <c r="N69" s="444" t="str">
        <f t="shared" si="10"/>
        <v/>
      </c>
      <c r="O69" s="479" t="str">
        <f t="shared" si="8"/>
        <v/>
      </c>
      <c r="P69" s="393"/>
      <c r="Q69" s="394"/>
      <c r="R69" s="395"/>
      <c r="S69" s="396"/>
      <c r="T69" s="299"/>
      <c r="U69" s="293"/>
      <c r="V69" s="397"/>
      <c r="W69" s="297"/>
      <c r="Y69" s="146" t="str">
        <f>IF(P69="Long-Term",VLOOKUP(Q69,'Look-Ups-Mapping'!$A$2:$B$23,2,FALSE),IF('Investment Analysis'!P69="Short-Term",VLOOKUP('Investment Analysis'!Q69,'Look-Ups-Mapping'!$A$2:$B$23,2,FALSE),""))</f>
        <v/>
      </c>
      <c r="Z69" s="146" t="str">
        <f>IF(P69="Long-Term",VLOOKUP(R69,'Look-Ups-Mapping'!$D$2:$E$24,2,FALSE),IF('Investment Analysis'!P69="Short-Term",VLOOKUP('Investment Analysis'!R69,'Look-Ups-Mapping'!$D$2:$E$24,2,FALSE),""))</f>
        <v/>
      </c>
      <c r="AA69" s="146" t="str">
        <f>IF(P69="Long-Term",VLOOKUP(S69,'Look-Ups-Mapping'!$G$2:$H$22,2,FALSE),IF('Investment Analysis'!P69="Short-Term",VLOOKUP('Investment Analysis'!S69,'Look-Ups-Mapping'!$G$2:$H$22,2,FALSE),""))</f>
        <v/>
      </c>
      <c r="AB69" s="146" t="e" cm="1">
        <f t="array" ref="AB69">IF(AND(ISNA(Y69)=FALSE,ISNA(Z69)=FALSE,ISNA(AA69)=FALSE),SMALL(Y69:AA69,1),IF(AND(ISNA(Y69)=TRUE,ISNA(Z69)=FALSE,ISNA(AA69)=FALSE),SMALL(Z69:AA69,1),IF(AND(ISNA(Y69)=FALSE,ISNA(Z69)=TRUE,ISNA(AA69)=FALSE),MIN(Y69,AA69),IF(AND(ISNA(Y69)=FALSE,ISNA(Z69)=FALSE,ISNA(AA69)=TRUE),SMALL(Y69:Z69,1),IF(AND(ISNA(Y69)=TRUE,ISNA(Z69)=TRUE,ISNA(AA69)=FALSE),AA69,IF(AND(ISNA(Y69)=TRUE,ISNA(Z69)=FALSE,ISNA(AA69)=TRUE),Z69,IF(AND(ISNA(Y69)=FALSE,ISNA(Z69)=TRUE,ISNA(AA69)=TRUE),Y69,IF(AND(ISNA(Y69)=TRUE,ISNA(Z69)=TRUE,ISNA(AA69)=TRUE),N/A,N/A))))))))</f>
        <v>#NUM!</v>
      </c>
      <c r="AF69" s="146" t="str">
        <f>IF($P69="Short-Term",VLOOKUP(Q69,'Look-Ups-Mapping'!$J$2:$K$5,2,FALSE),"")</f>
        <v/>
      </c>
      <c r="AG69" s="146" t="str">
        <f>IF($P69="Short-Term",VLOOKUP(R69,'Look-Ups-Mapping'!$M$2:$N$8,2,FALSE),"")</f>
        <v/>
      </c>
      <c r="AH69" s="146" t="str">
        <f>IF($P69="Short-Term",VLOOKUP(S69,'Look-Ups-Mapping'!$P$2:$Q$8,2,FALSE),"")</f>
        <v/>
      </c>
      <c r="AI69" s="146" t="e" cm="1">
        <f t="array" ref="AI69">IF(AND(ISNA(AF69)=FALSE,ISNA(AG69)=FALSE,ISNA(AH69)=FALSE),SMALL(AF69:AH69,1),IF(AND(ISNA(AF69)=TRUE,ISNA(AG69)=FALSE,ISNA(AH69)=FALSE),SMALL(AG69:AH69,1),IF(AND(ISNA(AF69)=FALSE,ISNA(AG69)=TRUE,ISNA(AH69)=FALSE),MIN(AF69,AH69),IF(AND(ISNA(AF69)=FALSE,ISNA(AG69)=FALSE,ISNA(AH69)=TRUE),SMALL(AF69:AG69,1),IF(AND(ISNA(AF69)=TRUE,ISNA(AG69)=TRUE,ISNA(AH69)=FALSE),AH69,IF(AND(ISNA(AF69)=TRUE,ISNA(AG69)=FALSE,ISNA(AH69)=TRUE),AG69,IF(AND(ISNA(AF69)=FALSE,ISNA(AG69)=TRUE,ISNA(AH69)=TRUE),AF69,IF(AND(ISNA(AF69)=TRUE,ISNA(AG69)=TRUE,ISNA(AH69)=TRUE),N/A,N/A))))))))</f>
        <v>#NUM!</v>
      </c>
      <c r="AK69" s="147" t="e">
        <f>VLOOKUP(V69,'Look-Ups-Mapping'!$A$29:$B$33,2,FALSE)</f>
        <v>#N/A</v>
      </c>
      <c r="AN69" s="147" t="e">
        <f>VLOOKUP(T69,'Look-Ups-Mapping'!$F$34:$G$35,2,FALSE)</f>
        <v>#N/A</v>
      </c>
      <c r="AP69" s="147" t="e">
        <f>VLOOKUP(U69,'Look-Ups-Mapping'!$F$34:$G$35,2,FALSE)</f>
        <v>#N/A</v>
      </c>
    </row>
    <row r="70" spans="2:42" x14ac:dyDescent="0.25">
      <c r="G70" s="27"/>
      <c r="H70" s="359"/>
      <c r="L70" s="35"/>
      <c r="M70" s="18"/>
      <c r="N70" s="18"/>
      <c r="O70" s="18"/>
      <c r="Q70" s="18"/>
    </row>
    <row r="71" spans="2:42" x14ac:dyDescent="0.25">
      <c r="G71" s="27"/>
      <c r="H71" s="359"/>
      <c r="K71" s="33"/>
      <c r="L71" s="150"/>
      <c r="M71" s="26"/>
      <c r="N71" s="26"/>
      <c r="O71" s="26"/>
      <c r="Q71" s="18"/>
    </row>
    <row r="72" spans="2:42" ht="14.4" thickBot="1" x14ac:dyDescent="0.3">
      <c r="B72" s="68" t="s">
        <v>208</v>
      </c>
      <c r="G72" s="232" t="s">
        <v>316</v>
      </c>
      <c r="H72" s="360">
        <f>SUM(H22:H69)</f>
        <v>0</v>
      </c>
      <c r="I72" s="159"/>
      <c r="J72" s="158"/>
      <c r="K72" s="139">
        <f>SUM(K22:K69)</f>
        <v>0</v>
      </c>
      <c r="L72" s="139">
        <f>SUM(L22:L69)</f>
        <v>0</v>
      </c>
      <c r="M72" s="139">
        <f>SUM(M22:M69)</f>
        <v>0</v>
      </c>
      <c r="N72" s="139">
        <f>SUM(N22:N69)</f>
        <v>0</v>
      </c>
      <c r="O72" s="139">
        <f>SUM(O22:O69)</f>
        <v>0</v>
      </c>
      <c r="Q72" s="18"/>
      <c r="U72" s="145">
        <f t="shared" ref="U72" si="12">SUM(U20:U69)</f>
        <v>0</v>
      </c>
    </row>
    <row r="73" spans="2:42" ht="13.8" thickTop="1" x14ac:dyDescent="0.25">
      <c r="I73" s="159"/>
      <c r="J73" s="17"/>
      <c r="M73" s="18"/>
      <c r="N73" s="18"/>
      <c r="O73" s="18"/>
      <c r="Q73" s="18"/>
    </row>
    <row r="74" spans="2:42" ht="6" customHeight="1" x14ac:dyDescent="0.25"/>
    <row r="75" spans="2:42" x14ac:dyDescent="0.25">
      <c r="C75" s="528" t="s">
        <v>337</v>
      </c>
      <c r="D75" s="528"/>
      <c r="E75" s="528"/>
      <c r="F75" s="528"/>
      <c r="G75" s="528"/>
      <c r="H75" s="528"/>
      <c r="I75" s="528"/>
      <c r="J75" s="133"/>
      <c r="K75" s="124"/>
      <c r="L75" s="129"/>
    </row>
    <row r="76" spans="2:42" x14ac:dyDescent="0.25">
      <c r="C76" s="528"/>
      <c r="D76" s="528"/>
      <c r="E76" s="528"/>
      <c r="F76" s="528"/>
      <c r="G76" s="528"/>
      <c r="H76" s="528"/>
      <c r="I76" s="528"/>
      <c r="J76" s="133"/>
      <c r="K76" s="124"/>
    </row>
    <row r="77" spans="2:42" x14ac:dyDescent="0.25">
      <c r="C77" s="124"/>
      <c r="D77" s="124"/>
      <c r="E77" s="124"/>
      <c r="F77" s="124"/>
      <c r="G77" s="124"/>
      <c r="H77" s="124"/>
      <c r="I77" s="124"/>
      <c r="J77" s="133"/>
      <c r="K77" s="124"/>
      <c r="L77" s="129"/>
    </row>
    <row r="78" spans="2:42" x14ac:dyDescent="0.25">
      <c r="C78" s="125" t="s">
        <v>339</v>
      </c>
      <c r="D78" s="125"/>
      <c r="E78" s="125"/>
      <c r="F78" s="17" t="s">
        <v>338</v>
      </c>
      <c r="L78" s="129"/>
    </row>
    <row r="79" spans="2:42" x14ac:dyDescent="0.25">
      <c r="B79" s="125" t="s">
        <v>336</v>
      </c>
      <c r="C79" s="529"/>
      <c r="D79" s="529"/>
      <c r="E79" s="529"/>
      <c r="F79" s="33"/>
    </row>
    <row r="80" spans="2:42" x14ac:dyDescent="0.25">
      <c r="B80" s="125" t="s">
        <v>340</v>
      </c>
      <c r="C80" s="527"/>
      <c r="D80" s="527"/>
      <c r="E80" s="527"/>
      <c r="F80" s="34"/>
    </row>
    <row r="81" spans="2:6" x14ac:dyDescent="0.25">
      <c r="B81" s="125" t="s">
        <v>341</v>
      </c>
      <c r="C81" s="34"/>
      <c r="D81" s="34"/>
      <c r="E81" s="34"/>
      <c r="F81" s="34"/>
    </row>
  </sheetData>
  <sheetProtection formatColumns="0" autoFilter="0"/>
  <mergeCells count="10">
    <mergeCell ref="AF18:AI18"/>
    <mergeCell ref="Y18:AB18"/>
    <mergeCell ref="V16:W16"/>
    <mergeCell ref="K18:O18"/>
    <mergeCell ref="C80:E80"/>
    <mergeCell ref="C75:I76"/>
    <mergeCell ref="C79:E79"/>
    <mergeCell ref="I16:O16"/>
    <mergeCell ref="B11:W11"/>
    <mergeCell ref="Q16:S16"/>
  </mergeCells>
  <phoneticPr fontId="10" type="noConversion"/>
  <conditionalFormatting sqref="I21">
    <cfRule type="expression" dxfId="35" priority="67">
      <formula>OR($E21="Equity Securities-International",E21="Equity Securities-Domestic",E21="Exchange Traded Funds-Equity",E21="Mutual Funds Equities",E21="Real Estate Investments")</formula>
    </cfRule>
  </conditionalFormatting>
  <conditionalFormatting sqref="I22:I68">
    <cfRule type="expression" dxfId="34" priority="41">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I69">
    <cfRule type="expression" dxfId="33" priority="1">
      <formula>OR($E69="Equity Securities-International",XFB69="Equity Securities-Domestic",XFB69="Exchange Traded Funds-Equity",XFB69="Mutual Funds Equities Domestic",XFB69="Real Estate Investment Trusts",XFB69="Real Estate Investments",XFB69="Mutual Funds Equities International",$E69="Bank Deposits Held for Investment Purposes     ",$E69="US Treasuries Obligations",$E69="US Agencies Obligations-Explicitly Guaranteed")</formula>
    </cfRule>
    <cfRule type="expression" dxfId="32" priority="2">
      <formula>OR($E69="Equity Securities-International",XFA69="Equity Securities-Domestic",XFA69="Exchange Traded Funds-Equity",XFA69="Mutual Funds Equities Domestic",XFA69="Real Estate Investment Trusts",XFA69="Real Estate Investments",XFA69="Mutual Funds Equities International",$E69="Bank Deposits Held for Investment Purposes     ",$E69="US Treasuries",$E69="US Agencies-Guaranteed")</formula>
    </cfRule>
    <cfRule type="expression" dxfId="31" priority="3" stopIfTrue="1">
      <formula>OR(XFA69="US Agencies-Guaranteed",XFA69="US Treasuries")</formula>
    </cfRule>
  </conditionalFormatting>
  <conditionalFormatting sqref="I22:O68 J69:O69">
    <cfRule type="expression" dxfId="30" priority="56">
      <formula>OR($E22="Equity Securities-International",E22="Equity Securities-Domestic",E22="Exchange Traded Funds-Equity",E22="Mutual Funds Equities Domestic",E22="Real Estate Investment Trusts",E22="Real Estate Investments")</formula>
    </cfRule>
  </conditionalFormatting>
  <conditionalFormatting sqref="J21">
    <cfRule type="expression" dxfId="29" priority="2263">
      <formula>"OR($E21=""Equity Securities-International"",E21=""Equity Securities-Domestic"",E21=""Exchange Traded Funds-Equity"",E21=""Mutual Funds Equities"",E21=""Real Estate Investments"")"</formula>
    </cfRule>
    <cfRule type="expression" dxfId="28" priority="2264">
      <formula>OR(#REF!="Equity Securities-International",#REF!="Equity Securities-Domestic",#REF!="Exchange Traded Funds-Equity",#REF!="Mutual Funds Equities Domestic",#REF!="Real Estate Investment Trusts",#REF!="Real Estate Investments",#REF!="Mutual Funds Equities International",#REF!="Bank Deposits Held for Investment Purposes")</formula>
    </cfRule>
  </conditionalFormatting>
  <conditionalFormatting sqref="J22:J69">
    <cfRule type="expression" dxfId="27" priority="48">
      <formula>OR($E$20="Equity Securities-International",$E$20="Equity Securities-Domestic")</formula>
    </cfRule>
    <cfRule type="expression" dxfId="26" priority="40">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J20:O20">
    <cfRule type="expression" dxfId="25" priority="204">
      <formula>OR($E$20="Equity Securities-International",$E$20="Equity Securities-Domestic")</formula>
    </cfRule>
  </conditionalFormatting>
  <conditionalFormatting sqref="K21:K69">
    <cfRule type="expression" dxfId="24" priority="68">
      <formula>OR($E21="Equity Securities-International",E21="Equity Securities-Domestic",E21="Exchange Traded Funds-Equity",E21="Mutual Funds Equities",E21="Real Estate Investments")</formula>
    </cfRule>
  </conditionalFormatting>
  <conditionalFormatting sqref="K22:K69">
    <cfRule type="expression" dxfId="23" priority="39">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L21:L69">
    <cfRule type="expression" dxfId="22" priority="65">
      <formula>OR($E21="Equity Securities-International",E21="Equity Securities-Domestic",E21="Exchange Traded Funds-Equity",E21="Mutual Funds Equities",E21="Real Estate Investments")</formula>
    </cfRule>
  </conditionalFormatting>
  <conditionalFormatting sqref="L22:L69">
    <cfRule type="expression" dxfId="21" priority="38">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M21:M69">
    <cfRule type="expression" dxfId="20" priority="53">
      <formula>OR($E21="Equity Securities-International",E21="Equity Securities-Domestic",E21="Exchange Traded Funds-Equity",E21="Mutual Funds Equities",E21="Real Estate Investments")</formula>
    </cfRule>
  </conditionalFormatting>
  <conditionalFormatting sqref="M22:M69">
    <cfRule type="expression" dxfId="19" priority="44">
      <formula>OR($E22="Equity Securities-International",E22="Equity Securities-Domestic",E22="Exchange Traded Funds-Equity",E22="Mutual Funds Equities Domestic",E22="Real Estate Investment Trusts",E22="Real Estate Investments")</formula>
    </cfRule>
    <cfRule type="expression" dxfId="18" priority="34">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N21:N69">
    <cfRule type="expression" dxfId="17" priority="52">
      <formula>OR($E21="Equity Securities-International",E21="Equity Securities-Domestic",E21="Exchange Traded Funds-Equity",E21="Mutual Funds Equities",E21="Real Estate Investments")</formula>
    </cfRule>
  </conditionalFormatting>
  <conditionalFormatting sqref="N22:N69">
    <cfRule type="expression" dxfId="16" priority="33">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O21:O69">
    <cfRule type="expression" dxfId="15" priority="62">
      <formula>OR($E21="Equity Securities-International",E21="Equity Securities-Domestic",E21="Exchange Traded Funds-Equity",E21="Mutual Funds Equities",E21="Real Estate Investments")</formula>
    </cfRule>
  </conditionalFormatting>
  <conditionalFormatting sqref="O22:O69">
    <cfRule type="expression" dxfId="14" priority="32">
      <formula>OR($E22="Equity Securities-International",E22="Equity Securities-Domestic",E22="Exchange Traded Funds-Equity",E22="Mutual Funds Equities Domestic",E22="Real Estate Investment Trusts",E22="Real Estate Investments",E22="Mutual Funds Equities International")</formula>
    </cfRule>
  </conditionalFormatting>
  <conditionalFormatting sqref="P21">
    <cfRule type="expression" dxfId="13" priority="23">
      <formula>OR($E21="Equity Securities-International",E21="Equity Securities-Domestic",E21="Exchange Traded Funds-Equity",E21="Mutual Funds Equities Domestic",E21="Real Estate Investment Trusts",E21="Real Estate Investments",E21="Mutual Funds Equities International",$E21="Bank Deposits Held for Investment Purposes",$E21="US Treasuries",$E21="US Agencies-Guaranteed")</formula>
    </cfRule>
  </conditionalFormatting>
  <conditionalFormatting sqref="P21:P69">
    <cfRule type="expression" dxfId="12" priority="27">
      <formula>OR(E21="US Agencies-Guaranteed",E21="US Treasuries")</formula>
    </cfRule>
  </conditionalFormatting>
  <conditionalFormatting sqref="P22:S69">
    <cfRule type="expression" dxfId="11" priority="15">
      <formula>OR($E22="Equity Securities-International",E22="Equity Securities-Domestic",E22="Exchange Traded Funds-Equity",E22="Mutual Funds Equities Domestic",E22="Real Estate Investment Trusts",E22="Real Estate Investments",E22="Mutual Funds Equities International",$E22="Bank Deposits Held for Investment Purposes     ",$E22="US Treasuries Obligations",$E22="US Agencies Obligations-Explicitly Guaranteed")</formula>
    </cfRule>
  </conditionalFormatting>
  <conditionalFormatting sqref="Q21">
    <cfRule type="expression" dxfId="10" priority="22">
      <formula>OR($E21="Equity Securities-International",E21="Equity Securities-Domestic",E21="Exchange Traded Funds-Equity",E21="Mutual Funds Equities Domestic",E21="Real Estate Investment Trusts",E21="Real Estate Investments",E21="Mutual Funds Equities International",$E21="Bank Deposits Held for Investment Purposes",$E21="US Treasuries",$E21="US Agencies-Guaranteed")</formula>
    </cfRule>
    <cfRule type="expression" dxfId="9" priority="26" stopIfTrue="1">
      <formula>OR(E21="US Agencies-Guaranteed",E21="US Treasuries")</formula>
    </cfRule>
  </conditionalFormatting>
  <conditionalFormatting sqref="Q21:Q69">
    <cfRule type="expression" dxfId="8" priority="69" stopIfTrue="1">
      <formula>OR(E21="US Agencies-Guaranteed",E21="US Treasuries")</formula>
    </cfRule>
  </conditionalFormatting>
  <conditionalFormatting sqref="Q22:Q69">
    <cfRule type="expression" dxfId="7" priority="30">
      <formula>OR($E22="Equity Securities-International",E22="Equity Securities-Domestic",E22="Exchange Traded Funds-Equity",E22="Mutual Funds Equities Domestic",E22="Real Estate Investment Trusts",E22="Real Estate Investments",E22="Mutual Funds Equities International",$E22="Bank Deposits Held for Investment Purposes     ",$E22="US Treasuries",$E22="US Agencies-Guaranteed")</formula>
    </cfRule>
  </conditionalFormatting>
  <conditionalFormatting sqref="R21">
    <cfRule type="expression" dxfId="6" priority="21">
      <formula>OR($E21="Equity Securities-International",E21="Equity Securities-Domestic",E21="Exchange Traded Funds-Equity",E21="Mutual Funds Equities Domestic",E21="Real Estate Investment Trusts",E21="Real Estate Investments",E21="Mutual Funds Equities International",$E21="Bank Deposits Held for Investment Purposes",$E21="US Treasuries",$E21="US Agencies-Guaranteed")</formula>
    </cfRule>
  </conditionalFormatting>
  <conditionalFormatting sqref="R21:R69">
    <cfRule type="expression" dxfId="5" priority="25">
      <formula>OR(E21="US Agencies-Guaranteed",E21="US Treasuries")</formula>
    </cfRule>
  </conditionalFormatting>
  <conditionalFormatting sqref="R22:R69">
    <cfRule type="expression" dxfId="4" priority="29">
      <formula>OR($E22="Equity Securities-International",E22="Equity Securities-Domestic",E22="Exchange Traded Funds-Equity",E22="Mutual Funds Equities Domestic",E22="Real Estate Investment Trusts",E22="Real Estate Investments",E22="Mutual Funds Equities International",$E22="Bank Deposits Held for Investment Purposes     ",$E22="US Treasuries",$E22="US Agencies-Guaranteed")</formula>
    </cfRule>
  </conditionalFormatting>
  <conditionalFormatting sqref="S21">
    <cfRule type="expression" dxfId="3" priority="24">
      <formula>OR($E21="Equity Securities-International",E21="Equity Securities-Domestic",E21="Exchange Traded Funds-Equity",E21="Mutual Funds Equities Domestic",E21="Real Estate Investment Trusts",E21="Real Estate Investments",E21="Mutual Funds Equities International",$E21="Bank Deposits Held for Investment Purposes",$E21="US Treasuries",$E21="US Agencies-Guaranteed")</formula>
    </cfRule>
  </conditionalFormatting>
  <conditionalFormatting sqref="S21:S69">
    <cfRule type="expression" dxfId="2" priority="60">
      <formula>OR(E21="US Agencies-Guaranteed",E21="US Treasuries")</formula>
    </cfRule>
  </conditionalFormatting>
  <conditionalFormatting sqref="S22:S69">
    <cfRule type="expression" dxfId="1" priority="49">
      <formula>OR($E22="Equity Securities-International",E22="Equity Securities-Domestic",E22="Exchange Traded Funds-Equity",E22="Mutual Funds Equities Domestic",E22="Real Estate Investment Trusts",E22="Real Estate Investments",E22="Mutual Funds Equities International",$E22="Bank Deposits Held for Investment Purposes     ",$E22="US Treasuries",$E22="US Agencies-Guaranteed")</formula>
    </cfRule>
  </conditionalFormatting>
  <dataValidations count="1">
    <dataValidation type="list" allowBlank="1" showInputMessage="1" showErrorMessage="1" sqref="U20:U69" xr:uid="{00000000-0002-0000-0300-000001000000}">
      <formula1>YN</formula1>
    </dataValidation>
  </dataValidations>
  <pageMargins left="0.1" right="0.1" top="0.74929999999999997" bottom="0.75" header="0.1" footer="0.5"/>
  <pageSetup paperSize="5" scale="50" fitToHeight="0" pageOrder="overThenDown" orientation="landscape" r:id="rId1"/>
  <headerFooter>
    <oddHeader>&amp;L&amp;"Times New Roman,Bold"&amp;12&amp;K870E00&amp;G&amp;R &amp;"Times New Roman,Bold"&amp;12 &amp;16 &amp;K0000992025 ACFR Information</oddHeader>
    <oddFooter>&amp;L&amp;"Times New Roman,Italic"&amp;9Page &amp;P of &amp;N
&amp;Z&amp;F &amp;A&amp;R&amp;"Times New Roman,Italic"&amp;9&amp;D &amp;T</oddFooter>
  </headerFooter>
  <drawing r:id="rId2"/>
  <legacyDrawingHF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300-000002000000}">
          <x14:formula1>
            <xm:f>'Entity List 6.24.2026'!$E$1:$E$2</xm:f>
          </x14:formula1>
          <xm:sqref>C9</xm:sqref>
        </x14:dataValidation>
        <x14:dataValidation type="list" allowBlank="1" showInputMessage="1" showErrorMessage="1" xr:uid="{F8B85485-616E-4445-AB0C-E01A0334B3FB}">
          <x14:formula1>
            <xm:f>'Look-Ups-Mapping'!$A$29:$A$33</xm:f>
          </x14:formula1>
          <xm:sqref>V20</xm:sqref>
        </x14:dataValidation>
        <x14:dataValidation type="list" allowBlank="1" showInputMessage="1" showErrorMessage="1" xr:uid="{394F454E-3616-4FAB-8510-AFAED427470A}">
          <x14:formula1>
            <xm:f>'Investment List'!$B$3:$B$30</xm:f>
          </x14:formula1>
          <xm:sqref>E20:E21</xm:sqref>
        </x14:dataValidation>
        <x14:dataValidation type="list" allowBlank="1" showInputMessage="1" showErrorMessage="1" xr:uid="{EC872066-3493-4C91-ABD4-71EF0B4E5915}">
          <x14:formula1>
            <xm:f>IF(#REF!="Long-Term",'Look-Ups-Mapping'!$D$2:$D$24,'Look-Ups-Mapping'!$M$2:$M$8)</xm:f>
          </x14:formula1>
          <xm:sqref>R20</xm:sqref>
        </x14:dataValidation>
        <x14:dataValidation type="list" allowBlank="1" showInputMessage="1" showErrorMessage="1" xr:uid="{7A6ED72F-6048-41BB-9ED0-318573C72252}">
          <x14:formula1>
            <xm:f>IF(#REF!="Long-Term",'Look-Ups-Mapping'!$A$2:$A$23,'Look-Ups-Mapping'!$J$2:$J$5)</xm:f>
          </x14:formula1>
          <xm:sqref>Q20</xm:sqref>
        </x14:dataValidation>
        <x14:dataValidation type="list" allowBlank="1" showInputMessage="1" showErrorMessage="1" xr:uid="{A8921CCD-BB18-46F0-8DB0-8833127DF25A}">
          <x14:formula1>
            <xm:f>IF(#REF!="Long-Term",'Look-Ups-Mapping'!$G$2:$G$22,'Look-Ups-Mapping'!$P$2:$P$8)</xm:f>
          </x14:formula1>
          <xm:sqref>S20</xm:sqref>
        </x14:dataValidation>
        <x14:dataValidation type="list" allowBlank="1" showInputMessage="1" showErrorMessage="1" xr:uid="{67AFA0A2-A5D8-4FDB-AFA7-BDDE0170F572}">
          <x14:formula1>
            <xm:f>IF($P21="Long-Term",'Look-Ups-Mapping'!$A$2:$A$23,'Look-Ups-Mapping'!$J$2:$J$5)</xm:f>
          </x14:formula1>
          <xm:sqref>Q21:Q69</xm:sqref>
        </x14:dataValidation>
        <x14:dataValidation type="list" allowBlank="1" showInputMessage="1" showErrorMessage="1" xr:uid="{ED4796BA-8D74-4EEC-AFAE-CF9DAE07F8E5}">
          <x14:formula1>
            <xm:f>IF($P21="Long-Term",'Look-Ups-Mapping'!$D$2:$D$24,'Look-Ups-Mapping'!$M$2:$M$8)</xm:f>
          </x14:formula1>
          <xm:sqref>R21:R69</xm:sqref>
        </x14:dataValidation>
        <x14:dataValidation type="list" allowBlank="1" showInputMessage="1" showErrorMessage="1" xr:uid="{F23CFC46-3BA5-49AB-84B9-B8BDDB7FA97E}">
          <x14:formula1>
            <xm:f>IF($P21="Long-Term",'Look-Ups-Mapping'!$G$2:$G$22,'Look-Ups-Mapping'!$P$2:$P$8)</xm:f>
          </x14:formula1>
          <xm:sqref>S21:S69</xm:sqref>
        </x14:dataValidation>
        <x14:dataValidation type="list" allowBlank="1" showInputMessage="1" showErrorMessage="1" xr:uid="{00000000-0002-0000-0300-000003000000}">
          <x14:formula1>
            <xm:f>'Entity List 6.24.2026'!$A$125:$A$172</xm:f>
          </x14:formula1>
          <xm:sqref>G3</xm:sqref>
        </x14:dataValidation>
        <x14:dataValidation type="list" allowBlank="1" showInputMessage="1" showErrorMessage="1" xr:uid="{909EA451-7FFE-46B6-B52E-3FB4FAEF5A38}">
          <x14:formula1>
            <xm:f>'Entity List 6.24.2026'!$A$2:$A$131</xm:f>
          </x14:formula1>
          <xm:sqref>E3</xm:sqref>
        </x14:dataValidation>
        <x14:dataValidation type="list" allowBlank="1" showInputMessage="1" showErrorMessage="1" xr:uid="{00000000-0002-0000-0300-000004000000}">
          <x14:formula1>
            <xm:f>'Entity List 6.24.2026'!$I$2:$I$6</xm:f>
          </x14:formula1>
          <xm:sqref>V21:V69</xm:sqref>
        </x14:dataValidation>
        <x14:dataValidation type="list" allowBlank="1" showInputMessage="1" showErrorMessage="1" xr:uid="{422BBA20-DAE4-477D-98AD-EA40032FD711}">
          <x14:formula1>
            <xm:f>'Look-Ups-Mapping'!$F$29:$F$30</xm:f>
          </x14:formula1>
          <xm:sqref>P20:P69</xm:sqref>
        </x14:dataValidation>
        <x14:dataValidation type="list" allowBlank="1" showInputMessage="1" showErrorMessage="1" xr:uid="{549574C5-1A00-48AB-94EC-DA44C26086CA}">
          <x14:formula1>
            <xm:f>'Look-Ups-Mapping'!$F$34:$F$35</xm:f>
          </x14:formula1>
          <xm:sqref>T20:T69</xm:sqref>
        </x14:dataValidation>
        <x14:dataValidation type="list" allowBlank="1" showInputMessage="1" showErrorMessage="1" xr:uid="{B57A571E-6B8E-46E2-BACE-112590561A1F}">
          <x14:formula1>
            <xm:f>'Investment List'!$B$3:$B$42</xm:f>
          </x14:formula1>
          <xm:sqref>E22:E69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R54"/>
  <sheetViews>
    <sheetView showGridLines="0" zoomScaleNormal="100" workbookViewId="0">
      <selection activeCell="F6" sqref="F6:H6"/>
    </sheetView>
  </sheetViews>
  <sheetFormatPr defaultColWidth="9.44140625" defaultRowHeight="13.2" outlineLevelCol="1" x14ac:dyDescent="0.25"/>
  <cols>
    <col min="1" max="1" width="5.44140625" style="17" customWidth="1"/>
    <col min="2" max="4" width="2.5546875" style="17" customWidth="1"/>
    <col min="5" max="5" width="5" style="17" customWidth="1"/>
    <col min="6" max="6" width="15.5546875" style="17" customWidth="1"/>
    <col min="7" max="7" width="2.5546875" style="17" customWidth="1"/>
    <col min="8" max="8" width="14.5546875" style="17" customWidth="1"/>
    <col min="9" max="9" width="14" style="17" customWidth="1"/>
    <col min="10" max="10" width="12.5546875" style="17" customWidth="1"/>
    <col min="11" max="11" width="14.5546875" style="17" customWidth="1"/>
    <col min="12" max="12" width="4.44140625" style="27" bestFit="1" customWidth="1"/>
    <col min="13" max="13" width="18.44140625" style="17" customWidth="1"/>
    <col min="14" max="14" width="5.44140625" style="27" customWidth="1"/>
    <col min="15" max="15" width="9.44140625" style="17"/>
    <col min="16" max="16" width="9.44140625" style="1"/>
    <col min="17" max="17" width="9.44140625" style="1" hidden="1" customWidth="1" outlineLevel="1"/>
    <col min="18" max="18" width="9.44140625" style="1" collapsed="1"/>
    <col min="19" max="16384" width="9.44140625" style="17"/>
  </cols>
  <sheetData>
    <row r="1" spans="1:17" ht="6" customHeight="1" x14ac:dyDescent="0.25"/>
    <row r="2" spans="1:17" ht="17.399999999999999" x14ac:dyDescent="0.25">
      <c r="A2" s="128" t="s">
        <v>123</v>
      </c>
      <c r="L2" s="17"/>
      <c r="N2" s="17"/>
      <c r="Q2" s="1" t="s">
        <v>0</v>
      </c>
    </row>
    <row r="3" spans="1:17" ht="13.8" thickBot="1" x14ac:dyDescent="0.3">
      <c r="L3" s="17"/>
      <c r="N3" s="17"/>
    </row>
    <row r="4" spans="1:17" x14ac:dyDescent="0.25">
      <c r="A4" s="68" t="s">
        <v>204</v>
      </c>
      <c r="B4" s="276" t="s">
        <v>11</v>
      </c>
      <c r="C4" s="282"/>
      <c r="D4" s="282"/>
      <c r="E4" s="283"/>
      <c r="F4" s="545">
        <f>'Investment Analysis'!E3</f>
        <v>0</v>
      </c>
      <c r="G4" s="546"/>
      <c r="H4" s="547"/>
    </row>
    <row r="5" spans="1:17" x14ac:dyDescent="0.25">
      <c r="B5" s="277" t="s">
        <v>12</v>
      </c>
      <c r="C5" s="20"/>
      <c r="D5" s="20"/>
      <c r="E5" s="284"/>
      <c r="F5" s="548" t="e">
        <f>'Investment Analysis'!E4</f>
        <v>#N/A</v>
      </c>
      <c r="G5" s="549"/>
      <c r="H5" s="550"/>
      <c r="J5" s="113" t="s">
        <v>331</v>
      </c>
    </row>
    <row r="6" spans="1:17" x14ac:dyDescent="0.25">
      <c r="B6" s="277" t="s">
        <v>150</v>
      </c>
      <c r="C6" s="20"/>
      <c r="D6" s="20"/>
      <c r="E6" s="284"/>
      <c r="F6" s="548">
        <f>'Investment Analysis'!E5</f>
        <v>0</v>
      </c>
      <c r="G6" s="549"/>
      <c r="H6" s="550"/>
      <c r="J6" s="113" t="s">
        <v>830</v>
      </c>
    </row>
    <row r="7" spans="1:17" x14ac:dyDescent="0.25">
      <c r="B7" s="277" t="s">
        <v>317</v>
      </c>
      <c r="C7" s="20"/>
      <c r="D7" s="20"/>
      <c r="E7" s="284"/>
      <c r="F7" s="557">
        <f>'Investment Analysis'!E6</f>
        <v>0</v>
      </c>
      <c r="G7" s="558"/>
      <c r="H7" s="559"/>
    </row>
    <row r="8" spans="1:17" ht="13.8" thickBot="1" x14ac:dyDescent="0.3">
      <c r="B8" s="278" t="s">
        <v>151</v>
      </c>
      <c r="C8" s="285"/>
      <c r="D8" s="285"/>
      <c r="E8" s="286"/>
      <c r="F8" s="551">
        <f>'Investment Analysis'!E7</f>
        <v>0</v>
      </c>
      <c r="G8" s="552"/>
      <c r="H8" s="553"/>
    </row>
    <row r="9" spans="1:17" ht="13.8" thickBot="1" x14ac:dyDescent="0.3">
      <c r="B9" s="32"/>
      <c r="C9" s="14"/>
      <c r="D9" s="14"/>
      <c r="E9" s="14"/>
      <c r="F9" s="14"/>
      <c r="G9" s="14"/>
      <c r="H9" s="14"/>
      <c r="J9" s="14"/>
      <c r="K9" s="14"/>
      <c r="L9" s="76"/>
    </row>
    <row r="10" spans="1:17" ht="14.4" thickBot="1" x14ac:dyDescent="0.3">
      <c r="A10" s="68" t="s">
        <v>205</v>
      </c>
      <c r="B10" s="554"/>
      <c r="C10" s="555"/>
      <c r="D10" s="555"/>
      <c r="E10" s="556"/>
      <c r="F10" s="161" t="s">
        <v>430</v>
      </c>
      <c r="G10" s="28"/>
      <c r="H10" s="28"/>
      <c r="I10" s="28"/>
      <c r="J10" s="28"/>
      <c r="K10" s="28"/>
      <c r="L10" s="28"/>
      <c r="M10" s="28"/>
      <c r="N10" s="28"/>
      <c r="O10" s="28"/>
      <c r="P10" s="28"/>
      <c r="Q10" s="28"/>
    </row>
    <row r="11" spans="1:17" ht="13.8" x14ac:dyDescent="0.25">
      <c r="B11" s="70"/>
      <c r="C11" s="69"/>
      <c r="D11" s="122"/>
      <c r="E11" s="14"/>
      <c r="F11" s="15"/>
      <c r="G11" s="15"/>
      <c r="H11" s="15"/>
      <c r="I11" s="15"/>
      <c r="J11" s="15"/>
      <c r="K11" s="15"/>
      <c r="L11" s="15"/>
      <c r="M11" s="15"/>
      <c r="N11" s="15"/>
      <c r="O11" s="15"/>
      <c r="P11" s="28"/>
      <c r="Q11" s="28"/>
    </row>
    <row r="12" spans="1:17" ht="13.8" x14ac:dyDescent="0.25">
      <c r="B12" s="70"/>
      <c r="C12" s="69"/>
      <c r="D12" s="122"/>
      <c r="E12" s="14"/>
      <c r="F12" s="15"/>
      <c r="G12" s="15"/>
      <c r="H12" s="15"/>
      <c r="I12" s="15"/>
      <c r="J12" s="15"/>
      <c r="K12" s="15"/>
      <c r="L12" s="15"/>
      <c r="M12" s="15"/>
      <c r="N12" s="15"/>
      <c r="O12" s="15"/>
      <c r="P12" s="28"/>
      <c r="Q12" s="28"/>
    </row>
    <row r="13" spans="1:17" x14ac:dyDescent="0.25">
      <c r="A13" s="68" t="s">
        <v>206</v>
      </c>
      <c r="B13" s="77" t="s">
        <v>39</v>
      </c>
      <c r="C13" s="15"/>
      <c r="D13" s="15"/>
      <c r="E13" s="15"/>
      <c r="G13" s="60"/>
      <c r="H13" s="15"/>
      <c r="I13" s="15"/>
      <c r="J13" s="15"/>
      <c r="K13" s="15"/>
      <c r="L13" s="15"/>
      <c r="M13" s="15"/>
      <c r="N13" s="15"/>
      <c r="O13" s="15"/>
      <c r="P13" s="28"/>
      <c r="Q13" s="28"/>
    </row>
    <row r="14" spans="1:17" x14ac:dyDescent="0.25">
      <c r="B14" s="60"/>
      <c r="C14" s="15"/>
      <c r="D14" s="15"/>
      <c r="E14" s="15"/>
      <c r="F14" s="15"/>
      <c r="G14" s="15"/>
      <c r="H14" s="15"/>
      <c r="I14" s="15"/>
      <c r="J14" s="15"/>
      <c r="K14" s="15"/>
      <c r="L14" s="15"/>
      <c r="M14" s="15"/>
      <c r="N14" s="15"/>
      <c r="O14" s="15"/>
      <c r="P14" s="28"/>
      <c r="Q14" s="28"/>
    </row>
    <row r="15" spans="1:17" x14ac:dyDescent="0.25">
      <c r="C15" s="15"/>
      <c r="D15" s="15"/>
      <c r="E15" s="15"/>
      <c r="F15" s="15"/>
      <c r="G15" s="15"/>
      <c r="H15" s="15"/>
      <c r="I15" s="15"/>
      <c r="J15" s="15"/>
      <c r="K15" s="15"/>
      <c r="L15" s="15"/>
      <c r="M15" s="15"/>
      <c r="N15" s="15"/>
      <c r="O15" s="15"/>
      <c r="P15" s="28"/>
      <c r="Q15" s="28"/>
    </row>
    <row r="16" spans="1:17" x14ac:dyDescent="0.25">
      <c r="C16" s="15"/>
      <c r="D16" s="15"/>
      <c r="E16" s="15"/>
      <c r="F16" s="15"/>
      <c r="G16" s="15"/>
      <c r="H16" s="15"/>
      <c r="I16" s="15"/>
      <c r="J16" s="15"/>
      <c r="K16" s="16"/>
      <c r="L16" s="16"/>
      <c r="M16" s="16"/>
      <c r="N16" s="15"/>
      <c r="O16" s="15"/>
      <c r="P16" s="28"/>
      <c r="Q16" s="28"/>
    </row>
    <row r="17" spans="2:17" ht="13.8" x14ac:dyDescent="0.25">
      <c r="B17" s="78" t="s">
        <v>209</v>
      </c>
      <c r="C17" s="79"/>
      <c r="D17" s="79"/>
      <c r="E17" s="79"/>
      <c r="F17" s="79"/>
      <c r="G17" s="79"/>
      <c r="H17" s="79"/>
      <c r="I17" s="79"/>
      <c r="J17" s="79"/>
      <c r="K17" s="79"/>
      <c r="L17" s="16"/>
      <c r="M17" s="108">
        <f>+'Investment Analysis'!H72</f>
        <v>0</v>
      </c>
      <c r="N17" s="80" t="s">
        <v>29</v>
      </c>
      <c r="O17" s="15"/>
      <c r="P17" s="28"/>
      <c r="Q17" s="28"/>
    </row>
    <row r="20" spans="2:17" x14ac:dyDescent="0.25">
      <c r="B20" s="81" t="s">
        <v>30</v>
      </c>
      <c r="K20" s="18"/>
      <c r="L20" s="19"/>
      <c r="M20" s="18"/>
    </row>
    <row r="21" spans="2:17" ht="38.25" customHeight="1" x14ac:dyDescent="0.25">
      <c r="B21" s="81"/>
      <c r="C21" s="82" t="s">
        <v>19</v>
      </c>
      <c r="D21" s="543" t="s">
        <v>332</v>
      </c>
      <c r="E21" s="543"/>
      <c r="F21" s="543"/>
      <c r="G21" s="543"/>
      <c r="H21" s="543"/>
      <c r="I21" s="543"/>
      <c r="J21" s="543"/>
      <c r="K21" s="18"/>
      <c r="L21" s="19"/>
      <c r="M21" s="18"/>
    </row>
    <row r="22" spans="2:17" x14ac:dyDescent="0.25">
      <c r="B22" s="81"/>
      <c r="K22" s="18"/>
      <c r="L22" s="19"/>
      <c r="M22" s="18"/>
    </row>
    <row r="23" spans="2:17" x14ac:dyDescent="0.25">
      <c r="B23" s="81"/>
      <c r="K23" s="18"/>
      <c r="L23" s="19"/>
      <c r="M23" s="18"/>
    </row>
    <row r="24" spans="2:17" ht="2.85" customHeight="1" x14ac:dyDescent="0.25">
      <c r="B24" s="81"/>
      <c r="K24" s="18"/>
      <c r="L24" s="19"/>
      <c r="M24" s="18"/>
    </row>
    <row r="25" spans="2:17" x14ac:dyDescent="0.25">
      <c r="E25" s="20" t="s">
        <v>31</v>
      </c>
      <c r="F25" s="20"/>
      <c r="G25" s="20"/>
      <c r="H25" s="544" t="s">
        <v>27</v>
      </c>
      <c r="I25" s="544"/>
      <c r="K25" s="83" t="s">
        <v>32</v>
      </c>
      <c r="L25" s="19"/>
      <c r="M25" s="18"/>
    </row>
    <row r="26" spans="2:17" x14ac:dyDescent="0.25">
      <c r="E26" s="21"/>
      <c r="F26" s="21"/>
      <c r="G26" s="21"/>
      <c r="H26" s="21"/>
      <c r="I26" s="22"/>
      <c r="K26" s="23"/>
      <c r="L26" s="19"/>
      <c r="M26" s="18"/>
    </row>
    <row r="27" spans="2:17" x14ac:dyDescent="0.25">
      <c r="E27" s="24"/>
      <c r="F27" s="24"/>
      <c r="G27" s="24"/>
      <c r="H27" s="24"/>
      <c r="I27" s="24"/>
      <c r="K27" s="25"/>
      <c r="L27" s="19"/>
      <c r="M27" s="18"/>
    </row>
    <row r="28" spans="2:17" x14ac:dyDescent="0.25">
      <c r="E28" s="24"/>
      <c r="F28" s="24"/>
      <c r="G28" s="24"/>
      <c r="H28" s="24"/>
      <c r="I28" s="24"/>
      <c r="K28" s="25"/>
      <c r="L28" s="19"/>
      <c r="M28" s="18"/>
    </row>
    <row r="29" spans="2:17" x14ac:dyDescent="0.25">
      <c r="E29" s="24"/>
      <c r="F29" s="24"/>
      <c r="G29" s="24"/>
      <c r="H29" s="24"/>
      <c r="I29" s="24"/>
      <c r="K29" s="25"/>
      <c r="L29" s="19"/>
      <c r="M29" s="18"/>
    </row>
    <row r="30" spans="2:17" x14ac:dyDescent="0.25">
      <c r="E30" s="24"/>
      <c r="F30" s="24"/>
      <c r="G30" s="24"/>
      <c r="H30" s="24"/>
      <c r="I30" s="24"/>
      <c r="K30" s="25"/>
      <c r="L30" s="72" t="s">
        <v>33</v>
      </c>
      <c r="M30" s="109">
        <f>SUM(K26:K30)</f>
        <v>0</v>
      </c>
      <c r="N30" s="84" t="s">
        <v>19</v>
      </c>
    </row>
    <row r="31" spans="2:17" x14ac:dyDescent="0.25">
      <c r="K31" s="18"/>
      <c r="L31" s="19"/>
      <c r="M31" s="18"/>
    </row>
    <row r="32" spans="2:17" ht="72" customHeight="1" x14ac:dyDescent="0.25">
      <c r="C32" s="82" t="s">
        <v>20</v>
      </c>
      <c r="D32" s="543" t="s">
        <v>348</v>
      </c>
      <c r="E32" s="543"/>
      <c r="F32" s="543"/>
      <c r="G32" s="543"/>
      <c r="H32" s="543"/>
      <c r="I32" s="543"/>
      <c r="J32" s="543"/>
      <c r="K32" s="18"/>
      <c r="L32" s="19"/>
      <c r="M32" s="18"/>
    </row>
    <row r="39" spans="3:14" x14ac:dyDescent="0.25">
      <c r="E39" s="20" t="s">
        <v>31</v>
      </c>
      <c r="F39" s="20"/>
      <c r="G39" s="20"/>
      <c r="H39" s="544" t="s">
        <v>27</v>
      </c>
      <c r="I39" s="544"/>
      <c r="K39" s="83" t="s">
        <v>32</v>
      </c>
      <c r="L39" s="19"/>
      <c r="M39" s="18"/>
    </row>
    <row r="40" spans="3:14" x14ac:dyDescent="0.25">
      <c r="E40" s="21"/>
      <c r="F40" s="21"/>
      <c r="G40" s="21"/>
      <c r="H40" s="21"/>
      <c r="I40" s="22"/>
      <c r="K40" s="23"/>
      <c r="L40" s="19"/>
      <c r="M40" s="18"/>
    </row>
    <row r="41" spans="3:14" x14ac:dyDescent="0.25">
      <c r="E41" s="21"/>
      <c r="F41" s="21"/>
      <c r="G41" s="21"/>
      <c r="H41" s="21"/>
      <c r="I41" s="21"/>
      <c r="K41" s="23"/>
      <c r="L41" s="19"/>
      <c r="M41" s="18"/>
    </row>
    <row r="42" spans="3:14" x14ac:dyDescent="0.25">
      <c r="E42" s="24"/>
      <c r="F42" s="24"/>
      <c r="G42" s="24"/>
      <c r="H42" s="24"/>
      <c r="I42" s="24"/>
      <c r="K42" s="25"/>
      <c r="L42" s="19"/>
      <c r="M42" s="18"/>
    </row>
    <row r="43" spans="3:14" x14ac:dyDescent="0.25">
      <c r="E43" s="24"/>
      <c r="F43" s="24"/>
      <c r="G43" s="24"/>
      <c r="H43" s="24"/>
      <c r="I43" s="24"/>
      <c r="K43" s="25"/>
      <c r="L43" s="19"/>
      <c r="M43" s="18"/>
    </row>
    <row r="44" spans="3:14" x14ac:dyDescent="0.25">
      <c r="E44" s="24"/>
      <c r="F44" s="24"/>
      <c r="G44" s="24"/>
      <c r="H44" s="24"/>
      <c r="I44" s="24"/>
      <c r="K44" s="25"/>
      <c r="L44" s="19"/>
      <c r="M44" s="18"/>
    </row>
    <row r="45" spans="3:14" x14ac:dyDescent="0.25">
      <c r="E45" s="24"/>
      <c r="F45" s="24"/>
      <c r="G45" s="24"/>
      <c r="H45" s="24"/>
      <c r="I45" s="24"/>
      <c r="K45" s="25"/>
      <c r="L45" s="72" t="s">
        <v>34</v>
      </c>
      <c r="M45" s="109">
        <f>SUM(K40:K45)</f>
        <v>0</v>
      </c>
      <c r="N45" s="84" t="s">
        <v>20</v>
      </c>
    </row>
    <row r="46" spans="3:14" x14ac:dyDescent="0.25">
      <c r="K46" s="18"/>
      <c r="L46" s="19"/>
      <c r="M46" s="18"/>
    </row>
    <row r="47" spans="3:14" x14ac:dyDescent="0.25">
      <c r="C47" s="85" t="s">
        <v>21</v>
      </c>
      <c r="D47" s="81" t="s">
        <v>87</v>
      </c>
      <c r="K47" s="18"/>
      <c r="L47" s="19"/>
      <c r="M47" s="18"/>
    </row>
    <row r="48" spans="3:14" x14ac:dyDescent="0.25">
      <c r="E48" s="17" t="s">
        <v>333</v>
      </c>
    </row>
    <row r="49" spans="2:14" x14ac:dyDescent="0.25">
      <c r="K49" s="18"/>
    </row>
    <row r="51" spans="2:14" x14ac:dyDescent="0.25">
      <c r="K51" s="18"/>
      <c r="L51" s="72" t="s">
        <v>35</v>
      </c>
      <c r="M51" s="109">
        <f>SUM(K49:K50)</f>
        <v>0</v>
      </c>
      <c r="N51" s="84" t="s">
        <v>21</v>
      </c>
    </row>
    <row r="52" spans="2:14" ht="13.8" x14ac:dyDescent="0.25">
      <c r="B52" s="86" t="s">
        <v>108</v>
      </c>
      <c r="K52" s="18"/>
      <c r="L52" s="19"/>
      <c r="M52" s="18"/>
    </row>
    <row r="53" spans="2:14" ht="14.4" thickBot="1" x14ac:dyDescent="0.3">
      <c r="C53" s="86" t="s">
        <v>107</v>
      </c>
      <c r="K53" s="18"/>
      <c r="L53" s="19"/>
      <c r="M53" s="110">
        <f>SUM(M17:M52)</f>
        <v>0</v>
      </c>
    </row>
    <row r="54" spans="2:14" ht="13.8" thickTop="1" x14ac:dyDescent="0.25">
      <c r="M54" s="84" t="s">
        <v>36</v>
      </c>
    </row>
  </sheetData>
  <sheetProtection algorithmName="SHA-512" hashValue="ZLkRD/4XSkYounPdU2goCt1aZLPpInxGCmkT69v1fdbDdVTIwPcM09+CgLFTmLar33GNqQwm+6cpyA0WXmCHVg==" saltValue="oEREt6HexY0Z7zmZIDTCGg==" spinCount="100000" sheet="1" formatCells="0" formatColumns="0" formatRows="0" insertColumns="0" insertRows="0" autoFilter="0"/>
  <mergeCells count="10">
    <mergeCell ref="D21:J21"/>
    <mergeCell ref="H25:I25"/>
    <mergeCell ref="D32:J32"/>
    <mergeCell ref="H39:I39"/>
    <mergeCell ref="F4:H4"/>
    <mergeCell ref="F5:H5"/>
    <mergeCell ref="F6:H6"/>
    <mergeCell ref="F8:H8"/>
    <mergeCell ref="B10:E10"/>
    <mergeCell ref="F7:H7"/>
  </mergeCells>
  <pageMargins left="0.35291666666666699" right="0.44718750000000002" top="1.0026041666666701" bottom="0.75" header="0.3" footer="0.3"/>
  <pageSetup scale="83" orientation="portrait" r:id="rId1"/>
  <headerFooter>
    <oddHeader>&amp;L&amp;G&amp;R&amp;"Times New Roman,Bold"&amp;12&amp;K000099  2025 ACFR Information</oddHeader>
    <oddFooter>&amp;L&amp;"Times New Roman,Italic"&amp;9&amp;Z&amp;F  &amp;A&amp;R&amp;"Times New Roman,Italic"&amp;9&amp;D &amp;T</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'Entity List 6.24.2026'!$E$1:$E$2</xm:f>
          </x14:formula1>
          <xm:sqref>B10:E10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N42"/>
  <sheetViews>
    <sheetView zoomScaleNormal="100" workbookViewId="0">
      <selection activeCell="C6" sqref="C6:E6"/>
    </sheetView>
  </sheetViews>
  <sheetFormatPr defaultRowHeight="13.2" x14ac:dyDescent="0.25"/>
  <cols>
    <col min="1" max="1" width="5.44140625" customWidth="1"/>
    <col min="2" max="2" width="15.44140625" customWidth="1"/>
    <col min="3" max="3" width="11.44140625" customWidth="1"/>
    <col min="4" max="4" width="11.5546875" customWidth="1"/>
    <col min="5" max="5" width="21.5546875" customWidth="1"/>
    <col min="6" max="6" width="9.5546875" customWidth="1"/>
    <col min="7" max="7" width="13.5546875" customWidth="1"/>
    <col min="8" max="8" width="16.5546875" customWidth="1"/>
    <col min="9" max="9" width="12.5546875" customWidth="1"/>
    <col min="10" max="10" width="14" customWidth="1"/>
  </cols>
  <sheetData>
    <row r="1" spans="1:12" ht="12.75" customHeight="1" x14ac:dyDescent="0.25"/>
    <row r="2" spans="1:12" ht="17.399999999999999" x14ac:dyDescent="0.25">
      <c r="A2" s="128" t="s">
        <v>123</v>
      </c>
    </row>
    <row r="3" spans="1:12" ht="13.8" thickBot="1" x14ac:dyDescent="0.3"/>
    <row r="4" spans="1:12" x14ac:dyDescent="0.25">
      <c r="A4" s="68" t="s">
        <v>204</v>
      </c>
      <c r="B4" s="279" t="s">
        <v>11</v>
      </c>
      <c r="C4" s="545">
        <f>'Investment Analysis'!E3</f>
        <v>0</v>
      </c>
      <c r="D4" s="546"/>
      <c r="E4" s="547"/>
      <c r="F4" s="17"/>
      <c r="G4" s="17"/>
      <c r="H4" s="17"/>
      <c r="I4" s="27"/>
      <c r="J4" s="17"/>
      <c r="K4" s="27"/>
      <c r="L4" s="17"/>
    </row>
    <row r="5" spans="1:12" x14ac:dyDescent="0.25">
      <c r="A5" s="17"/>
      <c r="B5" s="280" t="s">
        <v>12</v>
      </c>
      <c r="C5" s="548" t="e">
        <f>'Investment Analysis'!E4</f>
        <v>#N/A</v>
      </c>
      <c r="D5" s="549"/>
      <c r="E5" s="550"/>
      <c r="F5" s="17"/>
      <c r="G5" s="113" t="s">
        <v>331</v>
      </c>
      <c r="H5" s="17"/>
      <c r="I5" s="27"/>
      <c r="J5" s="17"/>
      <c r="K5" s="27"/>
      <c r="L5" s="17"/>
    </row>
    <row r="6" spans="1:12" x14ac:dyDescent="0.25">
      <c r="A6" s="17"/>
      <c r="B6" s="280" t="s">
        <v>150</v>
      </c>
      <c r="C6" s="548">
        <f>'Investment Analysis'!E5</f>
        <v>0</v>
      </c>
      <c r="D6" s="549"/>
      <c r="E6" s="550"/>
      <c r="F6" s="17"/>
      <c r="G6" s="113" t="s">
        <v>830</v>
      </c>
      <c r="H6" s="17"/>
      <c r="I6" s="27"/>
      <c r="J6" s="17"/>
      <c r="K6" s="27"/>
      <c r="L6" s="17"/>
    </row>
    <row r="7" spans="1:12" x14ac:dyDescent="0.25">
      <c r="A7" s="17"/>
      <c r="B7" s="280" t="s">
        <v>317</v>
      </c>
      <c r="C7" s="557">
        <f>'Investment Analysis'!E6</f>
        <v>0</v>
      </c>
      <c r="D7" s="558"/>
      <c r="E7" s="559"/>
      <c r="F7" s="17"/>
      <c r="G7" s="17"/>
      <c r="H7" s="17"/>
      <c r="I7" s="27"/>
      <c r="J7" s="17"/>
      <c r="K7" s="27"/>
      <c r="L7" s="17"/>
    </row>
    <row r="8" spans="1:12" ht="13.8" thickBot="1" x14ac:dyDescent="0.3">
      <c r="A8" s="17"/>
      <c r="B8" s="281" t="s">
        <v>151</v>
      </c>
      <c r="C8" s="551">
        <f>'Investment Analysis'!E7</f>
        <v>0</v>
      </c>
      <c r="D8" s="552"/>
      <c r="E8" s="553"/>
      <c r="F8" s="17"/>
      <c r="G8" s="17"/>
      <c r="H8" s="17"/>
      <c r="I8" s="27"/>
      <c r="J8" s="17"/>
      <c r="K8" s="27"/>
      <c r="L8" s="17"/>
    </row>
    <row r="9" spans="1:12" ht="13.8" thickBot="1" x14ac:dyDescent="0.3">
      <c r="A9" s="17"/>
      <c r="B9" s="32"/>
      <c r="C9" s="14"/>
      <c r="D9" s="14"/>
      <c r="E9" s="14"/>
      <c r="F9" s="17"/>
      <c r="G9" s="14"/>
      <c r="H9" s="14"/>
      <c r="I9" s="76"/>
      <c r="J9" s="17"/>
      <c r="K9" s="27"/>
      <c r="L9" s="17"/>
    </row>
    <row r="10" spans="1:12" ht="12.6" customHeight="1" thickBot="1" x14ac:dyDescent="0.3">
      <c r="A10" s="68" t="s">
        <v>205</v>
      </c>
      <c r="B10" s="148"/>
      <c r="C10" s="161" t="s">
        <v>430</v>
      </c>
      <c r="D10" s="55"/>
      <c r="E10" s="55"/>
      <c r="F10" s="28"/>
      <c r="G10" s="28"/>
      <c r="H10" s="28"/>
      <c r="I10" s="28"/>
      <c r="J10" s="28"/>
      <c r="K10" s="28"/>
      <c r="L10" s="15"/>
    </row>
    <row r="11" spans="1:12" ht="13.8" x14ac:dyDescent="0.25">
      <c r="A11" s="17"/>
      <c r="B11" s="70"/>
      <c r="C11" s="15"/>
      <c r="D11" s="15"/>
      <c r="E11" s="15"/>
      <c r="F11" s="15"/>
      <c r="G11" s="15"/>
      <c r="H11" s="15"/>
      <c r="I11" s="15"/>
      <c r="J11" s="15"/>
      <c r="K11" s="15"/>
      <c r="L11" s="15"/>
    </row>
    <row r="12" spans="1:12" ht="13.8" x14ac:dyDescent="0.25">
      <c r="A12" s="17"/>
      <c r="B12" s="70"/>
      <c r="C12" s="15"/>
      <c r="D12" s="15"/>
      <c r="E12" s="15"/>
      <c r="F12" s="15"/>
      <c r="G12" s="15"/>
      <c r="H12" s="15"/>
      <c r="I12" s="15"/>
      <c r="J12" s="15"/>
      <c r="K12" s="15"/>
      <c r="L12" s="15"/>
    </row>
    <row r="13" spans="1:12" x14ac:dyDescent="0.25">
      <c r="A13" s="68" t="s">
        <v>206</v>
      </c>
      <c r="B13" s="77" t="s">
        <v>453</v>
      </c>
      <c r="C13" s="17"/>
      <c r="D13" s="60"/>
      <c r="E13" s="15"/>
      <c r="F13" s="15"/>
      <c r="G13" s="15"/>
      <c r="H13" s="15"/>
      <c r="I13" s="15"/>
      <c r="J13" s="15"/>
      <c r="K13" s="15"/>
      <c r="L13" s="15"/>
    </row>
    <row r="14" spans="1:12" x14ac:dyDescent="0.25">
      <c r="A14" s="17"/>
      <c r="B14" s="60"/>
      <c r="C14" s="15"/>
      <c r="D14" s="15"/>
      <c r="E14" s="15"/>
      <c r="F14" s="15"/>
      <c r="G14" s="15"/>
      <c r="H14" s="15"/>
      <c r="I14" s="15"/>
      <c r="J14" s="15"/>
      <c r="K14" s="15"/>
      <c r="L14" s="15"/>
    </row>
    <row r="15" spans="1:12" ht="52.8" x14ac:dyDescent="0.25">
      <c r="A15" s="141"/>
      <c r="B15" s="135" t="s">
        <v>397</v>
      </c>
      <c r="C15" s="136" t="s">
        <v>398</v>
      </c>
      <c r="D15" s="136" t="s">
        <v>399</v>
      </c>
      <c r="E15" s="136" t="s">
        <v>400</v>
      </c>
      <c r="F15" s="135" t="s">
        <v>452</v>
      </c>
      <c r="G15" s="136" t="s">
        <v>401</v>
      </c>
      <c r="H15" s="136" t="s">
        <v>831</v>
      </c>
      <c r="I15" s="136" t="s">
        <v>402</v>
      </c>
      <c r="J15" s="136" t="s">
        <v>403</v>
      </c>
    </row>
    <row r="16" spans="1:12" x14ac:dyDescent="0.25">
      <c r="A16" s="141"/>
      <c r="B16" s="155">
        <v>1234500</v>
      </c>
      <c r="C16" s="155" t="s">
        <v>457</v>
      </c>
      <c r="D16" s="156" t="s">
        <v>458</v>
      </c>
      <c r="E16" s="155" t="s">
        <v>459</v>
      </c>
      <c r="F16" s="157" t="s">
        <v>460</v>
      </c>
      <c r="G16" s="156">
        <v>100000</v>
      </c>
      <c r="H16" s="156">
        <v>105321.66</v>
      </c>
      <c r="I16" s="155" t="s">
        <v>461</v>
      </c>
      <c r="J16" s="156">
        <v>105321.66</v>
      </c>
    </row>
    <row r="17" spans="1:10" x14ac:dyDescent="0.25">
      <c r="A17" s="141"/>
      <c r="B17" s="141"/>
      <c r="C17" s="141"/>
      <c r="D17" s="142"/>
      <c r="E17" s="141"/>
      <c r="F17" s="143"/>
      <c r="G17" s="142"/>
      <c r="H17" s="142"/>
      <c r="I17" s="141"/>
      <c r="J17" s="142"/>
    </row>
    <row r="18" spans="1:10" x14ac:dyDescent="0.25">
      <c r="A18" s="141"/>
      <c r="B18" s="141"/>
      <c r="C18" s="162"/>
      <c r="D18" s="398"/>
      <c r="E18" s="162"/>
      <c r="F18" s="399"/>
      <c r="G18" s="142"/>
      <c r="H18" s="142"/>
      <c r="I18" s="162"/>
      <c r="J18" s="142"/>
    </row>
    <row r="19" spans="1:10" x14ac:dyDescent="0.25">
      <c r="A19" s="141"/>
      <c r="B19" s="162"/>
      <c r="C19" s="141"/>
      <c r="D19" s="142"/>
      <c r="E19" s="141"/>
      <c r="F19" s="143"/>
      <c r="G19" s="142"/>
      <c r="H19" s="398"/>
      <c r="I19" s="141"/>
      <c r="J19" s="142"/>
    </row>
    <row r="20" spans="1:10" x14ac:dyDescent="0.25">
      <c r="A20" s="141"/>
      <c r="B20" s="141"/>
      <c r="C20" s="141"/>
      <c r="D20" s="398"/>
      <c r="E20" s="162"/>
      <c r="F20" s="143"/>
      <c r="G20" s="142"/>
      <c r="H20" s="142"/>
      <c r="I20" s="141"/>
      <c r="J20" s="142"/>
    </row>
    <row r="21" spans="1:10" x14ac:dyDescent="0.25">
      <c r="A21" s="141"/>
      <c r="B21" s="141"/>
      <c r="C21" s="141"/>
      <c r="D21" s="142"/>
      <c r="E21" s="162"/>
      <c r="F21" s="143"/>
      <c r="G21" s="142"/>
      <c r="H21" s="398"/>
      <c r="I21" s="141"/>
      <c r="J21" s="142"/>
    </row>
    <row r="22" spans="1:10" x14ac:dyDescent="0.25">
      <c r="A22" s="141"/>
      <c r="B22" s="141"/>
      <c r="C22" s="141"/>
      <c r="D22" s="142"/>
      <c r="E22" s="141"/>
      <c r="F22" s="143"/>
      <c r="G22" s="142"/>
      <c r="H22" s="142"/>
      <c r="I22" s="141"/>
      <c r="J22" s="142"/>
    </row>
    <row r="23" spans="1:10" x14ac:dyDescent="0.25">
      <c r="A23" s="141"/>
      <c r="B23" s="141"/>
      <c r="C23" s="141"/>
      <c r="D23" s="142"/>
      <c r="E23" s="141"/>
      <c r="F23" s="143"/>
      <c r="G23" s="142"/>
      <c r="H23" s="142"/>
      <c r="I23" s="141"/>
      <c r="J23" s="142"/>
    </row>
    <row r="24" spans="1:10" x14ac:dyDescent="0.25">
      <c r="A24" s="141"/>
      <c r="B24" s="141"/>
      <c r="C24" s="141"/>
      <c r="D24" s="142"/>
      <c r="E24" s="141"/>
      <c r="F24" s="143"/>
      <c r="G24" s="142"/>
      <c r="H24" s="142"/>
      <c r="I24" s="141"/>
      <c r="J24" s="142"/>
    </row>
    <row r="25" spans="1:10" x14ac:dyDescent="0.25">
      <c r="A25" s="141"/>
      <c r="B25" s="141"/>
      <c r="C25" s="141"/>
      <c r="D25" s="142"/>
      <c r="E25" s="141"/>
      <c r="F25" s="143"/>
      <c r="G25" s="142"/>
      <c r="H25" s="142"/>
      <c r="I25" s="141"/>
      <c r="J25" s="142"/>
    </row>
    <row r="26" spans="1:10" x14ac:dyDescent="0.25">
      <c r="A26" s="141"/>
      <c r="B26" s="141"/>
      <c r="C26" s="141"/>
      <c r="D26" s="142"/>
      <c r="E26" s="141"/>
      <c r="F26" s="143"/>
      <c r="G26" s="142"/>
      <c r="H26" s="142"/>
      <c r="I26" s="141"/>
      <c r="J26" s="142"/>
    </row>
    <row r="27" spans="1:10" x14ac:dyDescent="0.25">
      <c r="A27" s="141"/>
      <c r="B27" s="141"/>
      <c r="C27" s="141"/>
      <c r="D27" s="142"/>
      <c r="E27" s="141"/>
      <c r="F27" s="143"/>
      <c r="G27" s="142"/>
      <c r="H27" s="142"/>
      <c r="I27" s="141"/>
      <c r="J27" s="142"/>
    </row>
    <row r="28" spans="1:10" x14ac:dyDescent="0.25">
      <c r="A28" s="141"/>
      <c r="B28" s="141"/>
      <c r="C28" s="141"/>
      <c r="D28" s="142"/>
      <c r="E28" s="141"/>
      <c r="F28" s="143"/>
      <c r="G28" s="142"/>
      <c r="H28" s="142"/>
      <c r="I28" s="141"/>
      <c r="J28" s="142"/>
    </row>
    <row r="29" spans="1:10" x14ac:dyDescent="0.25">
      <c r="A29" s="141"/>
      <c r="B29" s="141"/>
      <c r="C29" s="141"/>
      <c r="D29" s="142"/>
      <c r="E29" s="141"/>
      <c r="F29" s="143"/>
      <c r="G29" s="142"/>
      <c r="H29" s="142"/>
      <c r="I29" s="141"/>
      <c r="J29" s="142"/>
    </row>
    <row r="30" spans="1:10" x14ac:dyDescent="0.25">
      <c r="A30" s="141"/>
      <c r="B30" s="141"/>
      <c r="C30" s="141"/>
      <c r="D30" s="142"/>
      <c r="E30" s="141"/>
      <c r="F30" s="143"/>
      <c r="G30" s="142"/>
      <c r="H30" s="142"/>
      <c r="I30" s="141"/>
      <c r="J30" s="142"/>
    </row>
    <row r="31" spans="1:10" x14ac:dyDescent="0.25">
      <c r="A31" s="141"/>
      <c r="B31" s="141"/>
      <c r="C31" s="141"/>
      <c r="D31" s="142"/>
      <c r="E31" s="141"/>
      <c r="F31" s="143"/>
      <c r="G31" s="142"/>
      <c r="H31" s="142"/>
      <c r="I31" s="141"/>
      <c r="J31" s="142"/>
    </row>
    <row r="32" spans="1:10" x14ac:dyDescent="0.25">
      <c r="A32" s="141"/>
      <c r="B32" s="141"/>
      <c r="C32" s="141"/>
      <c r="D32" s="142"/>
      <c r="E32" s="141"/>
      <c r="F32" s="143"/>
      <c r="G32" s="142"/>
      <c r="H32" s="142"/>
      <c r="I32" s="141"/>
      <c r="J32" s="142"/>
    </row>
    <row r="33" spans="1:14" x14ac:dyDescent="0.25">
      <c r="A33" s="141"/>
      <c r="B33" s="141"/>
      <c r="C33" s="141"/>
      <c r="D33" s="142"/>
      <c r="E33" s="141"/>
      <c r="F33" s="143"/>
      <c r="G33" s="142"/>
      <c r="H33" s="142"/>
      <c r="I33" s="141"/>
      <c r="J33" s="142"/>
    </row>
    <row r="34" spans="1:14" x14ac:dyDescent="0.25">
      <c r="A34" s="141"/>
      <c r="B34" s="141"/>
      <c r="C34" s="141"/>
      <c r="D34" s="142"/>
      <c r="E34" s="141"/>
      <c r="F34" s="143"/>
      <c r="G34" s="142"/>
      <c r="H34" s="142"/>
      <c r="I34" s="141"/>
      <c r="J34" s="142"/>
    </row>
    <row r="35" spans="1:14" x14ac:dyDescent="0.25">
      <c r="A35" s="141"/>
      <c r="B35" s="141"/>
      <c r="C35" s="141"/>
      <c r="D35" s="142"/>
      <c r="E35" s="141"/>
      <c r="F35" s="143"/>
      <c r="G35" s="142"/>
      <c r="H35" s="142"/>
      <c r="I35" s="141"/>
      <c r="J35" s="142"/>
    </row>
    <row r="36" spans="1:14" x14ac:dyDescent="0.25">
      <c r="A36" s="141"/>
      <c r="B36" s="141"/>
      <c r="C36" s="141"/>
      <c r="D36" s="142"/>
      <c r="E36" s="141"/>
      <c r="F36" s="143"/>
      <c r="G36" s="142"/>
      <c r="H36" s="142"/>
      <c r="I36" s="141"/>
      <c r="J36" s="142"/>
    </row>
    <row r="37" spans="1:14" x14ac:dyDescent="0.25">
      <c r="A37" s="141"/>
      <c r="B37" s="141"/>
      <c r="C37" s="141"/>
      <c r="D37" s="142"/>
      <c r="E37" s="141"/>
      <c r="F37" s="143"/>
      <c r="G37" s="142"/>
      <c r="H37" s="142"/>
      <c r="I37" s="141"/>
      <c r="J37" s="142"/>
    </row>
    <row r="38" spans="1:14" x14ac:dyDescent="0.25">
      <c r="A38" s="141"/>
      <c r="B38" s="141"/>
      <c r="C38" s="141"/>
      <c r="D38" s="142"/>
      <c r="E38" s="141"/>
      <c r="F38" s="141"/>
      <c r="G38" s="142"/>
      <c r="H38" s="142"/>
      <c r="I38" s="141"/>
      <c r="J38" s="142"/>
    </row>
    <row r="39" spans="1:14" x14ac:dyDescent="0.25">
      <c r="B39" s="141"/>
      <c r="C39" s="141"/>
      <c r="D39" s="141"/>
      <c r="E39" s="141"/>
      <c r="F39" s="141"/>
      <c r="G39" s="142"/>
      <c r="H39" s="142"/>
      <c r="I39" s="141"/>
      <c r="J39" s="142"/>
    </row>
    <row r="40" spans="1:14" x14ac:dyDescent="0.25">
      <c r="B40" s="141"/>
      <c r="C40" s="141"/>
      <c r="D40" s="141"/>
      <c r="E40" s="141"/>
      <c r="F40" s="141"/>
      <c r="G40" s="142"/>
      <c r="H40" s="154"/>
      <c r="I40" s="141"/>
      <c r="J40" s="142"/>
    </row>
    <row r="41" spans="1:14" ht="15" customHeight="1" x14ac:dyDescent="0.25">
      <c r="H41" s="140">
        <f>SUM(H17:H39)</f>
        <v>0</v>
      </c>
      <c r="I41" s="560" t="s">
        <v>454</v>
      </c>
      <c r="J41" s="560"/>
      <c r="K41" s="560"/>
      <c r="L41" s="560"/>
      <c r="M41" s="560"/>
      <c r="N41" s="149"/>
    </row>
    <row r="42" spans="1:14" x14ac:dyDescent="0.25">
      <c r="I42" s="560"/>
      <c r="J42" s="560"/>
      <c r="K42" s="560"/>
      <c r="L42" s="560"/>
      <c r="M42" s="560"/>
      <c r="N42" s="149"/>
    </row>
  </sheetData>
  <sheetProtection algorithmName="SHA-512" hashValue="qEhjArPGmFYOKR1Vdmson0jQbokPa5m2SGfpEKaAYK2kghiSe7zn4xrD3l4S5FISeDzgs4BaHYaFZ/gN/he4bw==" saltValue="fK/wwhEeDdE80uESoGj2Ww==" spinCount="100000" sheet="1" formatCells="0" formatColumns="0" formatRows="0" insertColumns="0" insertRows="0" sort="0" autoFilter="0" pivotTables="0"/>
  <mergeCells count="6">
    <mergeCell ref="I41:M42"/>
    <mergeCell ref="C4:E4"/>
    <mergeCell ref="C5:E5"/>
    <mergeCell ref="C6:E6"/>
    <mergeCell ref="C7:E7"/>
    <mergeCell ref="C8:E8"/>
  </mergeCells>
  <conditionalFormatting sqref="H43">
    <cfRule type="cellIs" dxfId="0" priority="1" operator="notEqual">
      <formula>0</formula>
    </cfRule>
  </conditionalFormatting>
  <pageMargins left="0.2" right="0.2" top="0.75" bottom="0.75" header="0.1" footer="0.55000000000000004"/>
  <pageSetup scale="61" orientation="portrait" r:id="rId1"/>
  <headerFooter>
    <oddHeader>&amp;L&amp;G&amp;R&amp;"Times New Roman,Bold"&amp;12&amp;K000099 2025 ACFR Information</oddHeader>
    <oddFooter>&amp;L
&amp;R&amp;D&amp;T</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'Entity List 6.24.2026'!$E$1:$E$2</xm:f>
          </x14:formula1>
          <xm:sqref>B10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4" tint="-0.249977111117893"/>
  </sheetPr>
  <dimension ref="A2:M69"/>
  <sheetViews>
    <sheetView zoomScaleNormal="100" workbookViewId="0">
      <selection activeCell="A2" sqref="A2"/>
    </sheetView>
  </sheetViews>
  <sheetFormatPr defaultColWidth="9.44140625" defaultRowHeight="13.2" x14ac:dyDescent="0.25"/>
  <cols>
    <col min="1" max="6" width="2.5546875" style="1" customWidth="1"/>
    <col min="7" max="7" width="37.5546875" style="1" customWidth="1"/>
    <col min="8" max="8" width="2.5546875" style="1" customWidth="1"/>
    <col min="9" max="9" width="22" style="1" customWidth="1"/>
    <col min="10" max="10" width="2.5546875" style="1" customWidth="1"/>
    <col min="11" max="11" width="22" style="1" customWidth="1"/>
    <col min="12" max="12" width="9.44140625" style="1"/>
    <col min="13" max="13" width="33.44140625" style="1" customWidth="1"/>
    <col min="14" max="16384" width="9.44140625" style="1"/>
  </cols>
  <sheetData>
    <row r="2" spans="1:11" ht="17.25" customHeight="1" x14ac:dyDescent="0.25"/>
    <row r="3" spans="1:11" ht="17.399999999999999" x14ac:dyDescent="0.25">
      <c r="A3" s="126" t="s">
        <v>123</v>
      </c>
    </row>
    <row r="4" spans="1:11" x14ac:dyDescent="0.25">
      <c r="A4" s="1" t="s">
        <v>58</v>
      </c>
    </row>
    <row r="6" spans="1:11" ht="13.8" x14ac:dyDescent="0.3">
      <c r="A6" s="8" t="s">
        <v>1</v>
      </c>
    </row>
    <row r="7" spans="1:11" ht="13.8" x14ac:dyDescent="0.3">
      <c r="A7" s="8" t="s">
        <v>2</v>
      </c>
    </row>
    <row r="8" spans="1:11" ht="13.8" x14ac:dyDescent="0.3">
      <c r="A8" s="8" t="s">
        <v>104</v>
      </c>
    </row>
    <row r="10" spans="1:11" x14ac:dyDescent="0.25">
      <c r="A10" s="566" t="s">
        <v>86</v>
      </c>
      <c r="B10" s="567"/>
      <c r="C10" s="567"/>
      <c r="D10" s="567"/>
      <c r="E10" s="567"/>
      <c r="F10" s="567"/>
      <c r="G10" s="567"/>
      <c r="H10" s="567"/>
      <c r="I10" s="567"/>
      <c r="J10" s="567"/>
      <c r="K10" s="568"/>
    </row>
    <row r="11" spans="1:11" x14ac:dyDescent="0.25">
      <c r="A11" s="3"/>
      <c r="B11" s="4"/>
      <c r="C11" s="4"/>
      <c r="D11" s="4"/>
      <c r="E11" s="4"/>
      <c r="F11" s="4"/>
      <c r="G11" s="13"/>
      <c r="I11" s="10" t="s">
        <v>52</v>
      </c>
      <c r="J11" s="2"/>
      <c r="K11" s="10" t="s">
        <v>57</v>
      </c>
    </row>
    <row r="12" spans="1:11" x14ac:dyDescent="0.25">
      <c r="A12" s="5"/>
      <c r="G12" s="9"/>
      <c r="I12" s="7" t="s">
        <v>82</v>
      </c>
      <c r="J12" s="2"/>
      <c r="K12" s="7" t="s">
        <v>56</v>
      </c>
    </row>
    <row r="13" spans="1:11" x14ac:dyDescent="0.25">
      <c r="A13" s="5"/>
      <c r="G13" s="9"/>
      <c r="I13" s="7" t="s">
        <v>83</v>
      </c>
      <c r="J13" s="2"/>
      <c r="K13" s="7" t="s">
        <v>55</v>
      </c>
    </row>
    <row r="14" spans="1:11" x14ac:dyDescent="0.25">
      <c r="A14" s="5"/>
      <c r="G14" s="9"/>
      <c r="I14" s="7" t="s">
        <v>84</v>
      </c>
      <c r="J14" s="2"/>
      <c r="K14" s="7" t="s">
        <v>54</v>
      </c>
    </row>
    <row r="15" spans="1:11" x14ac:dyDescent="0.25">
      <c r="A15" s="563" t="s">
        <v>68</v>
      </c>
      <c r="B15" s="564"/>
      <c r="C15" s="564"/>
      <c r="D15" s="564"/>
      <c r="E15" s="564"/>
      <c r="F15" s="564"/>
      <c r="G15" s="565"/>
      <c r="H15" s="6"/>
      <c r="I15" s="11" t="s">
        <v>81</v>
      </c>
      <c r="J15" s="7"/>
      <c r="K15" s="11" t="s">
        <v>53</v>
      </c>
    </row>
    <row r="16" spans="1:11" x14ac:dyDescent="0.25">
      <c r="A16" s="37"/>
      <c r="B16" s="37"/>
      <c r="C16" s="37"/>
      <c r="D16" s="37"/>
      <c r="E16" s="37"/>
      <c r="F16" s="37"/>
      <c r="G16" s="37"/>
      <c r="H16" s="2"/>
      <c r="I16" s="7"/>
      <c r="J16" s="2"/>
      <c r="K16" s="7"/>
    </row>
    <row r="17" spans="1:13" ht="13.8" x14ac:dyDescent="0.25">
      <c r="A17" s="38" t="s">
        <v>102</v>
      </c>
      <c r="B17" s="39"/>
      <c r="C17" s="39"/>
      <c r="D17" s="39"/>
      <c r="E17" s="39"/>
      <c r="F17" s="39"/>
      <c r="G17" s="40"/>
      <c r="I17" s="12"/>
      <c r="K17" s="12"/>
    </row>
    <row r="18" spans="1:13" x14ac:dyDescent="0.25">
      <c r="A18" s="5"/>
      <c r="B18" s="242" t="s">
        <v>118</v>
      </c>
      <c r="C18" s="243"/>
      <c r="D18" s="243"/>
      <c r="E18" s="243"/>
      <c r="F18" s="243"/>
      <c r="G18" s="244"/>
      <c r="H18" s="9"/>
      <c r="I18" s="245" t="s">
        <v>60</v>
      </c>
      <c r="J18" s="138"/>
      <c r="K18" s="245" t="s">
        <v>60</v>
      </c>
      <c r="M18" s="88"/>
    </row>
    <row r="19" spans="1:13" x14ac:dyDescent="0.25">
      <c r="A19" s="5"/>
      <c r="B19" s="246"/>
      <c r="C19" s="246" t="s">
        <v>18</v>
      </c>
      <c r="D19" s="246"/>
      <c r="E19" s="246"/>
      <c r="F19" s="246"/>
      <c r="G19" s="247"/>
      <c r="H19" s="9"/>
      <c r="I19" s="137" t="s">
        <v>60</v>
      </c>
      <c r="J19" s="138"/>
      <c r="K19" s="137" t="s">
        <v>60</v>
      </c>
      <c r="M19" s="88"/>
    </row>
    <row r="20" spans="1:13" x14ac:dyDescent="0.25">
      <c r="A20" s="5"/>
      <c r="B20" s="246"/>
      <c r="C20" s="246" t="s">
        <v>40</v>
      </c>
      <c r="D20" s="246"/>
      <c r="E20" s="246"/>
      <c r="F20" s="246"/>
      <c r="G20" s="247"/>
      <c r="H20" s="9"/>
      <c r="I20" s="137" t="s">
        <v>60</v>
      </c>
      <c r="J20" s="138"/>
      <c r="K20" s="137" t="s">
        <v>60</v>
      </c>
      <c r="M20"/>
    </row>
    <row r="21" spans="1:13" x14ac:dyDescent="0.25">
      <c r="A21" s="5"/>
      <c r="G21" s="9"/>
      <c r="I21" s="138"/>
      <c r="J21" s="248"/>
      <c r="K21" s="138"/>
      <c r="M21"/>
    </row>
    <row r="22" spans="1:13" x14ac:dyDescent="0.25">
      <c r="A22" s="5"/>
      <c r="B22" s="249" t="s">
        <v>109</v>
      </c>
      <c r="G22" s="9"/>
      <c r="I22" s="138"/>
      <c r="J22" s="248"/>
      <c r="K22" s="138"/>
      <c r="M22" s="88"/>
    </row>
    <row r="23" spans="1:13" x14ac:dyDescent="0.25">
      <c r="A23" s="5"/>
      <c r="B23" s="249"/>
      <c r="C23" s="1" t="s">
        <v>110</v>
      </c>
      <c r="G23" s="9"/>
      <c r="I23" s="138"/>
      <c r="J23" s="248"/>
      <c r="K23" s="138"/>
      <c r="M23" s="88"/>
    </row>
    <row r="24" spans="1:13" x14ac:dyDescent="0.25">
      <c r="A24" s="5"/>
      <c r="B24" s="246"/>
      <c r="C24" s="246" t="s">
        <v>112</v>
      </c>
      <c r="D24" s="246"/>
      <c r="E24" s="246"/>
      <c r="F24" s="246"/>
      <c r="G24" s="247"/>
      <c r="H24" s="9"/>
      <c r="I24" s="137" t="s">
        <v>59</v>
      </c>
      <c r="J24" s="138"/>
      <c r="K24" s="137" t="s">
        <v>59</v>
      </c>
      <c r="M24"/>
    </row>
    <row r="25" spans="1:13" x14ac:dyDescent="0.25">
      <c r="A25" s="5"/>
      <c r="B25" s="246"/>
      <c r="C25" s="246" t="s">
        <v>119</v>
      </c>
      <c r="D25" s="246"/>
      <c r="E25" s="246"/>
      <c r="F25" s="246"/>
      <c r="G25" s="247"/>
      <c r="H25" s="9"/>
      <c r="I25" s="137" t="s">
        <v>59</v>
      </c>
      <c r="J25" s="138"/>
      <c r="K25" s="137" t="s">
        <v>59</v>
      </c>
      <c r="M25"/>
    </row>
    <row r="26" spans="1:13" x14ac:dyDescent="0.25">
      <c r="A26" s="5"/>
      <c r="B26" s="246"/>
      <c r="C26" s="246" t="s">
        <v>13</v>
      </c>
      <c r="D26" s="246"/>
      <c r="E26" s="246"/>
      <c r="F26" s="246"/>
      <c r="G26" s="247"/>
      <c r="H26" s="9"/>
      <c r="I26" s="245" t="s">
        <v>59</v>
      </c>
      <c r="J26" s="138"/>
      <c r="K26" s="245" t="s">
        <v>59</v>
      </c>
      <c r="M26" s="88"/>
    </row>
    <row r="27" spans="1:13" x14ac:dyDescent="0.25">
      <c r="A27" s="5"/>
      <c r="B27" s="246"/>
      <c r="C27" s="246" t="s">
        <v>92</v>
      </c>
      <c r="D27" s="246"/>
      <c r="E27" s="246"/>
      <c r="F27" s="246"/>
      <c r="G27" s="247"/>
      <c r="H27" s="9"/>
      <c r="I27" s="137" t="s">
        <v>59</v>
      </c>
      <c r="J27" s="138"/>
      <c r="K27" s="137" t="s">
        <v>59</v>
      </c>
    </row>
    <row r="28" spans="1:13" x14ac:dyDescent="0.25">
      <c r="A28" s="5"/>
      <c r="B28" s="246"/>
      <c r="C28" s="246" t="s">
        <v>114</v>
      </c>
      <c r="D28" s="246"/>
      <c r="E28" s="246"/>
      <c r="F28" s="246"/>
      <c r="G28" s="247"/>
      <c r="H28" s="9"/>
      <c r="I28" s="137" t="s">
        <v>59</v>
      </c>
      <c r="J28" s="138"/>
      <c r="K28" s="137" t="s">
        <v>59</v>
      </c>
      <c r="M28"/>
    </row>
    <row r="29" spans="1:13" x14ac:dyDescent="0.25">
      <c r="A29" s="5"/>
      <c r="B29" s="246"/>
      <c r="C29" s="246" t="s">
        <v>115</v>
      </c>
      <c r="D29" s="246"/>
      <c r="E29" s="246"/>
      <c r="F29" s="246"/>
      <c r="G29" s="247"/>
      <c r="H29" s="9"/>
      <c r="I29" s="137" t="s">
        <v>60</v>
      </c>
      <c r="J29" s="138"/>
      <c r="K29" s="137" t="s">
        <v>59</v>
      </c>
      <c r="M29"/>
    </row>
    <row r="30" spans="1:13" x14ac:dyDescent="0.25">
      <c r="A30" s="5"/>
      <c r="B30" s="246"/>
      <c r="C30" s="246" t="s">
        <v>103</v>
      </c>
      <c r="D30" s="246"/>
      <c r="E30" s="246"/>
      <c r="F30" s="246"/>
      <c r="G30" s="247"/>
      <c r="H30" s="9"/>
      <c r="I30" s="137" t="s">
        <v>59</v>
      </c>
      <c r="J30" s="138"/>
      <c r="K30" s="137" t="s">
        <v>59</v>
      </c>
      <c r="M30"/>
    </row>
    <row r="31" spans="1:13" x14ac:dyDescent="0.25">
      <c r="A31" s="5"/>
      <c r="B31" s="246"/>
      <c r="C31" s="246" t="s">
        <v>113</v>
      </c>
      <c r="D31" s="246"/>
      <c r="E31" s="246"/>
      <c r="F31" s="246"/>
      <c r="G31" s="247"/>
      <c r="H31" s="9"/>
      <c r="I31" s="137" t="s">
        <v>59</v>
      </c>
      <c r="J31" s="138"/>
      <c r="K31" s="137" t="s">
        <v>59</v>
      </c>
      <c r="M31"/>
    </row>
    <row r="32" spans="1:13" x14ac:dyDescent="0.25">
      <c r="A32" s="5"/>
      <c r="B32" s="246"/>
      <c r="C32" s="246" t="s">
        <v>38</v>
      </c>
      <c r="D32" s="246"/>
      <c r="E32" s="246"/>
      <c r="F32" s="246"/>
      <c r="G32" s="247"/>
      <c r="H32" s="9"/>
      <c r="I32" s="137" t="s">
        <v>59</v>
      </c>
      <c r="J32" s="138"/>
      <c r="K32" s="137" t="s">
        <v>59</v>
      </c>
      <c r="M32"/>
    </row>
    <row r="33" spans="1:13" x14ac:dyDescent="0.25">
      <c r="A33" s="5"/>
      <c r="B33" s="246"/>
      <c r="C33" s="246" t="s">
        <v>111</v>
      </c>
      <c r="D33" s="246"/>
      <c r="E33" s="246"/>
      <c r="F33" s="246"/>
      <c r="G33" s="247"/>
      <c r="H33" s="9"/>
      <c r="I33" s="137" t="s">
        <v>59</v>
      </c>
      <c r="J33" s="138"/>
      <c r="K33" s="137" t="s">
        <v>59</v>
      </c>
    </row>
    <row r="34" spans="1:13" x14ac:dyDescent="0.25">
      <c r="A34" s="5"/>
      <c r="B34" s="246"/>
      <c r="C34" s="246" t="s">
        <v>120</v>
      </c>
      <c r="D34" s="246"/>
      <c r="E34" s="246"/>
      <c r="F34" s="246"/>
      <c r="G34" s="247"/>
      <c r="H34" s="9"/>
      <c r="I34" s="137" t="s">
        <v>59</v>
      </c>
      <c r="J34" s="138"/>
      <c r="K34" s="137" t="s">
        <v>59</v>
      </c>
    </row>
    <row r="35" spans="1:13" x14ac:dyDescent="0.25">
      <c r="A35" s="5"/>
      <c r="B35" s="250"/>
      <c r="C35" s="250" t="s">
        <v>93</v>
      </c>
      <c r="D35" s="250"/>
      <c r="E35" s="250"/>
      <c r="F35" s="250"/>
      <c r="G35" s="251"/>
      <c r="H35" s="9"/>
      <c r="I35" s="252"/>
      <c r="J35" s="138"/>
      <c r="K35" s="252"/>
      <c r="M35"/>
    </row>
    <row r="36" spans="1:13" x14ac:dyDescent="0.25">
      <c r="A36" s="5"/>
      <c r="D36" s="1" t="s">
        <v>94</v>
      </c>
      <c r="G36" s="9"/>
      <c r="H36" s="9"/>
      <c r="I36" s="138"/>
      <c r="J36" s="138"/>
      <c r="K36" s="138"/>
    </row>
    <row r="37" spans="1:13" x14ac:dyDescent="0.25">
      <c r="A37" s="5"/>
      <c r="E37" s="1" t="s">
        <v>89</v>
      </c>
      <c r="G37" s="9"/>
      <c r="H37" s="9"/>
      <c r="I37" s="138"/>
      <c r="J37" s="138"/>
      <c r="K37" s="138"/>
    </row>
    <row r="38" spans="1:13" x14ac:dyDescent="0.25">
      <c r="A38" s="5"/>
      <c r="B38" s="243"/>
      <c r="C38" s="243"/>
      <c r="D38" s="243"/>
      <c r="E38" s="243"/>
      <c r="F38" s="243" t="s">
        <v>90</v>
      </c>
      <c r="G38" s="244"/>
      <c r="H38" s="9"/>
      <c r="I38" s="245" t="s">
        <v>59</v>
      </c>
      <c r="J38" s="138"/>
      <c r="K38" s="245" t="s">
        <v>60</v>
      </c>
    </row>
    <row r="39" spans="1:13" x14ac:dyDescent="0.25">
      <c r="A39" s="5"/>
      <c r="B39" s="246"/>
      <c r="C39" s="246"/>
      <c r="D39" s="246"/>
      <c r="E39" s="246"/>
      <c r="F39" s="246" t="s">
        <v>91</v>
      </c>
      <c r="G39" s="247"/>
      <c r="H39" s="9"/>
      <c r="I39" s="137" t="s">
        <v>59</v>
      </c>
      <c r="J39" s="138"/>
      <c r="K39" s="137" t="s">
        <v>59</v>
      </c>
    </row>
    <row r="40" spans="1:13" x14ac:dyDescent="0.25">
      <c r="A40" s="5"/>
      <c r="B40" s="246"/>
      <c r="C40" s="246"/>
      <c r="D40" s="243"/>
      <c r="E40" s="243" t="s">
        <v>117</v>
      </c>
      <c r="G40" s="244"/>
      <c r="H40" s="9"/>
      <c r="I40" s="137" t="s">
        <v>59</v>
      </c>
      <c r="J40" s="138"/>
      <c r="K40" s="137" t="s">
        <v>59</v>
      </c>
    </row>
    <row r="41" spans="1:13" x14ac:dyDescent="0.25">
      <c r="A41" s="5"/>
      <c r="B41" s="246"/>
      <c r="C41" s="246" t="s">
        <v>88</v>
      </c>
      <c r="D41" s="246"/>
      <c r="E41" s="246"/>
      <c r="F41" s="246"/>
      <c r="G41" s="247"/>
      <c r="H41" s="9"/>
      <c r="I41" s="137" t="s">
        <v>59</v>
      </c>
      <c r="J41" s="138"/>
      <c r="K41" s="137" t="s">
        <v>60</v>
      </c>
    </row>
    <row r="42" spans="1:13" x14ac:dyDescent="0.25">
      <c r="A42" s="5"/>
      <c r="C42" s="1" t="s">
        <v>89</v>
      </c>
      <c r="G42" s="9"/>
      <c r="H42" s="9"/>
      <c r="I42" s="138"/>
      <c r="J42" s="138"/>
      <c r="K42" s="138"/>
    </row>
    <row r="43" spans="1:13" x14ac:dyDescent="0.25">
      <c r="A43" s="5"/>
      <c r="D43" s="1" t="s">
        <v>99</v>
      </c>
      <c r="G43" s="9"/>
      <c r="H43" s="9"/>
      <c r="I43" s="138"/>
      <c r="J43" s="138"/>
      <c r="K43" s="138"/>
    </row>
    <row r="44" spans="1:13" x14ac:dyDescent="0.25">
      <c r="A44" s="5"/>
      <c r="B44" s="243"/>
      <c r="C44" s="243"/>
      <c r="D44" s="243"/>
      <c r="E44" s="243" t="s">
        <v>41</v>
      </c>
      <c r="F44" s="243"/>
      <c r="G44" s="244"/>
      <c r="H44" s="9"/>
      <c r="I44" s="245" t="s">
        <v>59</v>
      </c>
      <c r="J44" s="138"/>
      <c r="K44" s="245" t="s">
        <v>60</v>
      </c>
    </row>
    <row r="45" spans="1:13" x14ac:dyDescent="0.25">
      <c r="A45" s="5"/>
      <c r="B45" s="246"/>
      <c r="C45" s="246"/>
      <c r="D45" s="246"/>
      <c r="E45" s="246" t="s">
        <v>43</v>
      </c>
      <c r="F45" s="246"/>
      <c r="G45" s="247"/>
      <c r="H45" s="9"/>
      <c r="I45" s="137" t="s">
        <v>59</v>
      </c>
      <c r="J45" s="138"/>
      <c r="K45" s="137" t="s">
        <v>60</v>
      </c>
    </row>
    <row r="46" spans="1:13" x14ac:dyDescent="0.25">
      <c r="A46" s="5"/>
      <c r="B46" s="246"/>
      <c r="C46" s="246"/>
      <c r="D46" s="246"/>
      <c r="E46" s="246" t="s">
        <v>42</v>
      </c>
      <c r="F46" s="246"/>
      <c r="G46" s="247"/>
      <c r="H46" s="9"/>
      <c r="I46" s="137" t="s">
        <v>59</v>
      </c>
      <c r="J46" s="138"/>
      <c r="K46" s="137" t="s">
        <v>60</v>
      </c>
    </row>
    <row r="47" spans="1:13" x14ac:dyDescent="0.25">
      <c r="A47" s="5"/>
      <c r="D47" s="1" t="s">
        <v>100</v>
      </c>
      <c r="G47" s="9"/>
      <c r="H47" s="9"/>
      <c r="I47" s="138"/>
      <c r="J47" s="138"/>
      <c r="K47" s="138"/>
    </row>
    <row r="48" spans="1:13" x14ac:dyDescent="0.25">
      <c r="A48" s="5"/>
      <c r="B48" s="243"/>
      <c r="C48" s="243"/>
      <c r="D48" s="243"/>
      <c r="E48" s="243" t="s">
        <v>44</v>
      </c>
      <c r="F48" s="243"/>
      <c r="G48" s="244"/>
      <c r="H48" s="9"/>
      <c r="I48" s="245" t="s">
        <v>59</v>
      </c>
      <c r="J48" s="138"/>
      <c r="K48" s="245" t="s">
        <v>59</v>
      </c>
    </row>
    <row r="49" spans="1:11" x14ac:dyDescent="0.25">
      <c r="A49" s="5"/>
      <c r="B49" s="246"/>
      <c r="C49" s="246"/>
      <c r="D49" s="246"/>
      <c r="E49" s="246" t="s">
        <v>45</v>
      </c>
      <c r="F49" s="246"/>
      <c r="G49" s="247"/>
      <c r="H49" s="9"/>
      <c r="I49" s="137" t="s">
        <v>59</v>
      </c>
      <c r="J49" s="138"/>
      <c r="K49" s="137" t="s">
        <v>59</v>
      </c>
    </row>
    <row r="50" spans="1:11" x14ac:dyDescent="0.25">
      <c r="A50" s="5"/>
      <c r="B50" s="246"/>
      <c r="C50" s="246"/>
      <c r="D50" s="246"/>
      <c r="E50" s="246" t="s">
        <v>46</v>
      </c>
      <c r="F50" s="246"/>
      <c r="G50" s="247"/>
      <c r="H50" s="9"/>
      <c r="I50" s="137" t="s">
        <v>59</v>
      </c>
      <c r="J50" s="138"/>
      <c r="K50" s="137" t="s">
        <v>59</v>
      </c>
    </row>
    <row r="51" spans="1:11" x14ac:dyDescent="0.25">
      <c r="A51" s="5"/>
      <c r="B51" s="246"/>
      <c r="C51" s="246"/>
      <c r="D51" s="246"/>
      <c r="E51" s="246" t="s">
        <v>47</v>
      </c>
      <c r="F51" s="246"/>
      <c r="G51" s="247"/>
      <c r="H51" s="9"/>
      <c r="I51" s="137" t="s">
        <v>59</v>
      </c>
      <c r="J51" s="138"/>
      <c r="K51" s="137" t="s">
        <v>59</v>
      </c>
    </row>
    <row r="52" spans="1:11" x14ac:dyDescent="0.25">
      <c r="A52" s="5"/>
      <c r="B52" s="246"/>
      <c r="C52" s="246"/>
      <c r="D52" s="246"/>
      <c r="E52" s="246" t="s">
        <v>48</v>
      </c>
      <c r="F52" s="246"/>
      <c r="G52" s="247"/>
      <c r="H52" s="9"/>
      <c r="I52" s="137" t="s">
        <v>59</v>
      </c>
      <c r="J52" s="138"/>
      <c r="K52" s="137" t="s">
        <v>59</v>
      </c>
    </row>
    <row r="53" spans="1:11" x14ac:dyDescent="0.25">
      <c r="A53" s="253"/>
      <c r="B53" s="254"/>
      <c r="C53" s="254"/>
      <c r="D53" s="254"/>
      <c r="E53" s="254"/>
      <c r="F53" s="254"/>
      <c r="G53" s="255"/>
      <c r="H53" s="9"/>
      <c r="I53" s="12"/>
      <c r="K53" s="12"/>
    </row>
    <row r="54" spans="1:11" x14ac:dyDescent="0.25">
      <c r="I54" s="12"/>
      <c r="K54" s="12"/>
    </row>
    <row r="55" spans="1:11" ht="13.8" x14ac:dyDescent="0.25">
      <c r="A55" s="38" t="s">
        <v>101</v>
      </c>
      <c r="B55" s="39"/>
      <c r="C55" s="39"/>
      <c r="D55" s="39"/>
      <c r="E55" s="39"/>
      <c r="F55" s="39"/>
      <c r="G55" s="40"/>
      <c r="I55" s="12"/>
      <c r="K55" s="12"/>
    </row>
    <row r="56" spans="1:11" x14ac:dyDescent="0.25">
      <c r="A56" s="5"/>
      <c r="B56" s="246" t="s">
        <v>37</v>
      </c>
      <c r="C56" s="246"/>
      <c r="D56" s="246"/>
      <c r="E56" s="246"/>
      <c r="F56" s="246"/>
      <c r="G56" s="247"/>
      <c r="H56" s="246"/>
      <c r="I56" s="137" t="s">
        <v>60</v>
      </c>
      <c r="J56" s="12"/>
      <c r="K56" s="137" t="s">
        <v>60</v>
      </c>
    </row>
    <row r="57" spans="1:11" ht="26.25" customHeight="1" x14ac:dyDescent="0.25">
      <c r="A57" s="5"/>
      <c r="B57" s="561" t="s">
        <v>121</v>
      </c>
      <c r="C57" s="561"/>
      <c r="D57" s="561"/>
      <c r="E57" s="561"/>
      <c r="F57" s="561"/>
      <c r="G57" s="562"/>
      <c r="H57" s="243"/>
      <c r="I57" s="137" t="s">
        <v>60</v>
      </c>
      <c r="J57" s="12"/>
      <c r="K57" s="137" t="s">
        <v>60</v>
      </c>
    </row>
    <row r="58" spans="1:11" x14ac:dyDescent="0.25">
      <c r="A58" s="5"/>
      <c r="B58" s="243" t="s">
        <v>98</v>
      </c>
      <c r="C58" s="243"/>
      <c r="D58" s="243"/>
      <c r="E58" s="243"/>
      <c r="F58" s="243"/>
      <c r="G58" s="244"/>
      <c r="H58" s="243"/>
      <c r="I58" s="245" t="s">
        <v>60</v>
      </c>
      <c r="J58" s="12"/>
      <c r="K58" s="245" t="s">
        <v>60</v>
      </c>
    </row>
    <row r="59" spans="1:11" x14ac:dyDescent="0.25">
      <c r="A59" s="5"/>
      <c r="B59" s="246" t="s">
        <v>15</v>
      </c>
      <c r="C59" s="246"/>
      <c r="D59" s="247"/>
      <c r="E59" s="246"/>
      <c r="F59" s="246"/>
      <c r="G59" s="247"/>
      <c r="H59" s="256"/>
      <c r="I59" s="137" t="s">
        <v>59</v>
      </c>
      <c r="J59" s="12"/>
      <c r="K59" s="137" t="s">
        <v>60</v>
      </c>
    </row>
    <row r="60" spans="1:11" x14ac:dyDescent="0.25">
      <c r="A60" s="5"/>
      <c r="B60" s="243" t="s">
        <v>96</v>
      </c>
      <c r="C60" s="243"/>
      <c r="D60" s="243"/>
      <c r="E60" s="243"/>
      <c r="F60" s="243"/>
      <c r="G60" s="244"/>
      <c r="H60" s="243"/>
      <c r="I60" s="245" t="s">
        <v>60</v>
      </c>
      <c r="J60" s="12"/>
      <c r="K60" s="245" t="s">
        <v>60</v>
      </c>
    </row>
    <row r="61" spans="1:11" x14ac:dyDescent="0.25">
      <c r="A61" s="5"/>
      <c r="B61" s="246" t="s">
        <v>51</v>
      </c>
      <c r="C61" s="246"/>
      <c r="D61" s="246"/>
      <c r="E61" s="246"/>
      <c r="F61" s="246"/>
      <c r="G61" s="247"/>
      <c r="H61" s="246"/>
      <c r="I61" s="137" t="s">
        <v>60</v>
      </c>
      <c r="J61" s="12"/>
      <c r="K61" s="137" t="s">
        <v>60</v>
      </c>
    </row>
    <row r="62" spans="1:11" x14ac:dyDescent="0.25">
      <c r="A62" s="5"/>
      <c r="B62" s="246" t="s">
        <v>49</v>
      </c>
      <c r="C62" s="246"/>
      <c r="D62" s="246"/>
      <c r="E62" s="246"/>
      <c r="F62" s="246"/>
      <c r="G62" s="247"/>
      <c r="H62" s="246"/>
      <c r="I62" s="137" t="s">
        <v>60</v>
      </c>
      <c r="J62" s="12"/>
      <c r="K62" s="137" t="s">
        <v>60</v>
      </c>
    </row>
    <row r="63" spans="1:11" x14ac:dyDescent="0.25">
      <c r="A63" s="5"/>
      <c r="B63" s="243" t="s">
        <v>116</v>
      </c>
      <c r="C63" s="243"/>
      <c r="D63" s="243"/>
      <c r="E63" s="243"/>
      <c r="F63" s="243"/>
      <c r="G63" s="244"/>
      <c r="H63" s="243"/>
      <c r="I63" s="245" t="s">
        <v>60</v>
      </c>
      <c r="J63" s="12"/>
      <c r="K63" s="245" t="s">
        <v>60</v>
      </c>
    </row>
    <row r="64" spans="1:11" x14ac:dyDescent="0.25">
      <c r="A64" s="5"/>
      <c r="B64" s="246" t="s">
        <v>50</v>
      </c>
      <c r="C64" s="246"/>
      <c r="D64" s="246"/>
      <c r="E64" s="246"/>
      <c r="F64" s="246"/>
      <c r="G64" s="247"/>
      <c r="H64" s="246"/>
      <c r="I64" s="137" t="s">
        <v>60</v>
      </c>
      <c r="J64" s="12"/>
      <c r="K64" s="137" t="s">
        <v>59</v>
      </c>
    </row>
    <row r="65" spans="1:11" x14ac:dyDescent="0.25">
      <c r="A65" s="5"/>
      <c r="B65" s="243" t="s">
        <v>16</v>
      </c>
      <c r="C65" s="243"/>
      <c r="D65" s="243"/>
      <c r="E65" s="243"/>
      <c r="F65" s="243"/>
      <c r="G65" s="244"/>
      <c r="H65" s="243"/>
      <c r="I65" s="245" t="s">
        <v>60</v>
      </c>
      <c r="J65" s="12"/>
      <c r="K65" s="245" t="s">
        <v>60</v>
      </c>
    </row>
    <row r="66" spans="1:11" x14ac:dyDescent="0.25">
      <c r="A66" s="5"/>
      <c r="B66" s="246" t="s">
        <v>95</v>
      </c>
      <c r="C66" s="246"/>
      <c r="D66" s="246"/>
      <c r="E66" s="246"/>
      <c r="F66" s="246"/>
      <c r="G66" s="247"/>
      <c r="H66" s="246"/>
      <c r="I66" s="137" t="s">
        <v>60</v>
      </c>
      <c r="J66" s="12"/>
      <c r="K66" s="137" t="s">
        <v>60</v>
      </c>
    </row>
    <row r="67" spans="1:11" ht="26.4" x14ac:dyDescent="0.25">
      <c r="A67" s="5"/>
      <c r="B67" s="257" t="s">
        <v>14</v>
      </c>
      <c r="C67" s="257"/>
      <c r="D67" s="257"/>
      <c r="E67" s="257"/>
      <c r="F67" s="257"/>
      <c r="G67" s="258"/>
      <c r="H67" s="257"/>
      <c r="I67" s="259" t="s">
        <v>60</v>
      </c>
      <c r="J67" s="12"/>
      <c r="K67" s="260" t="s">
        <v>85</v>
      </c>
    </row>
    <row r="68" spans="1:11" x14ac:dyDescent="0.25">
      <c r="A68" s="5"/>
      <c r="B68" s="246" t="s">
        <v>97</v>
      </c>
      <c r="C68" s="246"/>
      <c r="D68" s="246"/>
      <c r="E68" s="246"/>
      <c r="F68" s="246"/>
      <c r="G68" s="247"/>
      <c r="H68" s="246"/>
      <c r="I68" s="137" t="s">
        <v>60</v>
      </c>
      <c r="J68" s="12"/>
      <c r="K68" s="137" t="s">
        <v>60</v>
      </c>
    </row>
    <row r="69" spans="1:11" x14ac:dyDescent="0.25">
      <c r="A69" s="253"/>
      <c r="B69" s="254"/>
      <c r="C69" s="254"/>
      <c r="D69" s="254"/>
      <c r="E69" s="254"/>
      <c r="F69" s="254"/>
      <c r="G69" s="255"/>
      <c r="I69" s="261"/>
      <c r="K69" s="261"/>
    </row>
  </sheetData>
  <sheetProtection algorithmName="SHA-512" hashValue="Gyn/WRKi+QYQ/coS21Td/q5w63qWTg2KWdr+/6XtbIBU895eFBaOrERaDBwk+/eSm3WrPXFPFIlvm7HLyddY2w==" saltValue="TPcto6cNgg46Ich1qQwYGg==" spinCount="100000" sheet="1" formatCells="0" formatColumns="0" formatRows="0" insertColumns="0" insertRows="0" autoFilter="0"/>
  <mergeCells count="3">
    <mergeCell ref="B57:G57"/>
    <mergeCell ref="A15:G15"/>
    <mergeCell ref="A10:K10"/>
  </mergeCells>
  <phoneticPr fontId="10" type="noConversion"/>
  <pageMargins left="0.35" right="0.45" top="0.99929999999999997" bottom="0.75" header="0.35" footer="0.5"/>
  <pageSetup scale="75" orientation="portrait" r:id="rId1"/>
  <headerFooter>
    <oddHeader>&amp;L&amp;"Times New Roman,Bold"&amp;12&amp;K870E00&amp;G&amp;R &amp;"Times New Roman,Bold"&amp;12&amp;K000099 2025 ACFR Information</oddHeader>
    <oddFooter>&amp;L&amp;"Times New Roman,Italic"&amp;9Page &amp;P of &amp;N
&amp;Z&amp;F &amp;A&amp;R&amp;"Times New Roman,Italic"&amp;9&amp;D &amp;T</oddFooter>
  </headerFooter>
  <legacy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BBF0C-D2AA-44B3-B517-96AFAFD9B337}">
  <sheetPr>
    <tabColor rgb="FFFFCCFF"/>
    <pageSetUpPr fitToPage="1"/>
  </sheetPr>
  <dimension ref="B1:DG137"/>
  <sheetViews>
    <sheetView topLeftCell="G1" workbookViewId="0">
      <selection activeCell="P30" sqref="P30"/>
    </sheetView>
  </sheetViews>
  <sheetFormatPr defaultColWidth="9.44140625" defaultRowHeight="13.2" x14ac:dyDescent="0.25"/>
  <cols>
    <col min="1" max="1" width="4.44140625" customWidth="1"/>
    <col min="2" max="2" width="17.44140625" customWidth="1"/>
    <col min="3" max="3" width="13" customWidth="1"/>
    <col min="4" max="4" width="15.5546875" customWidth="1"/>
    <col min="5" max="5" width="16.44140625" customWidth="1"/>
    <col min="6" max="6" width="17.44140625" customWidth="1"/>
    <col min="7" max="7" width="30.44140625" bestFit="1" customWidth="1"/>
    <col min="8" max="8" width="30.44140625" customWidth="1"/>
    <col min="9" max="9" width="7.44140625" customWidth="1"/>
    <col min="10" max="10" width="6.5546875" customWidth="1"/>
    <col min="11" max="11" width="16.21875" bestFit="1" customWidth="1"/>
    <col min="12" max="12" width="21.44140625" bestFit="1" customWidth="1"/>
    <col min="13" max="15" width="11.44140625" bestFit="1" customWidth="1"/>
    <col min="16" max="16" width="18.5546875" bestFit="1" customWidth="1"/>
    <col min="17" max="17" width="9.21875" bestFit="1" customWidth="1"/>
    <col min="18" max="18" width="15.5546875" bestFit="1" customWidth="1"/>
    <col min="19" max="19" width="11.44140625" bestFit="1" customWidth="1"/>
    <col min="20" max="20" width="16.5546875" bestFit="1" customWidth="1"/>
  </cols>
  <sheetData>
    <row r="1" spans="2:111" s="89" customFormat="1" x14ac:dyDescent="0.25">
      <c r="B1" s="94" t="s">
        <v>212</v>
      </c>
      <c r="C1" s="94" t="s">
        <v>213</v>
      </c>
      <c r="D1" s="386" t="s">
        <v>852</v>
      </c>
      <c r="E1" s="95" t="s">
        <v>214</v>
      </c>
      <c r="F1" s="240" t="s">
        <v>853</v>
      </c>
      <c r="G1" s="240" t="s">
        <v>854</v>
      </c>
      <c r="H1" s="96" t="s">
        <v>161</v>
      </c>
      <c r="I1" s="96" t="s">
        <v>162</v>
      </c>
      <c r="J1" s="96" t="s">
        <v>163</v>
      </c>
      <c r="K1" s="96" t="s">
        <v>839</v>
      </c>
      <c r="L1" s="96" t="s">
        <v>840</v>
      </c>
      <c r="M1" s="96" t="s">
        <v>164</v>
      </c>
      <c r="N1" s="96" t="s">
        <v>165</v>
      </c>
      <c r="O1" s="96" t="s">
        <v>166</v>
      </c>
      <c r="P1" s="95" t="s">
        <v>841</v>
      </c>
      <c r="Q1" s="96" t="s">
        <v>168</v>
      </c>
      <c r="R1" s="96" t="s">
        <v>170</v>
      </c>
      <c r="S1" s="96" t="s">
        <v>167</v>
      </c>
      <c r="T1" s="96" t="s">
        <v>842</v>
      </c>
      <c r="DC1" s="87"/>
      <c r="DD1"/>
      <c r="DE1"/>
      <c r="DF1"/>
      <c r="DG1" s="90"/>
    </row>
    <row r="2" spans="2:111" s="89" customFormat="1" x14ac:dyDescent="0.25">
      <c r="B2" s="97" t="s">
        <v>221</v>
      </c>
      <c r="C2" s="97" t="s">
        <v>215</v>
      </c>
      <c r="D2" s="98" t="str">
        <f>[2]!HsSetValue(E2,"FCC","Scenario#"&amp;Q2&amp;";Years#"&amp;J2&amp;";Period#"&amp;I2&amp;";View#"&amp;R2&amp;";Entity#"&amp;H2&amp;";Data Source#"&amp;K2&amp;";Account#"&amp;F2&amp;";Intercompany#"&amp;L2&amp;";Movement#"&amp;P2&amp;";Consolidation#"&amp;T2&amp;";Custom1#"&amp;M2&amp;";Custom2#"&amp;N2&amp;";Custom3#"&amp;O2&amp;";Custom4#"&amp;S2&amp;"")</f>
        <v>#Invalid Syntax</v>
      </c>
      <c r="E2" s="111">
        <v>44277</v>
      </c>
      <c r="F2" s="100" t="s">
        <v>218</v>
      </c>
      <c r="G2" s="89" t="s">
        <v>837</v>
      </c>
      <c r="H2" s="89" t="e">
        <f>VLOOKUP('Investment Analysis'!$E$3,'Entity List 6.24.2026'!$A:$C,3,FALSE)</f>
        <v>#N/A</v>
      </c>
      <c r="I2" s="363" t="s">
        <v>973</v>
      </c>
      <c r="J2" s="89" t="s">
        <v>1073</v>
      </c>
      <c r="K2" s="89" t="s">
        <v>843</v>
      </c>
      <c r="L2" s="89" t="s">
        <v>844</v>
      </c>
      <c r="M2" s="89" t="s">
        <v>845</v>
      </c>
      <c r="N2" s="89" t="s">
        <v>846</v>
      </c>
      <c r="O2" s="89" t="s">
        <v>847</v>
      </c>
      <c r="P2" s="89" t="s">
        <v>974</v>
      </c>
      <c r="Q2" s="89" t="s">
        <v>169</v>
      </c>
      <c r="R2" s="89" t="s">
        <v>848</v>
      </c>
      <c r="S2" s="89" t="s">
        <v>849</v>
      </c>
      <c r="T2" s="89" t="s">
        <v>850</v>
      </c>
      <c r="DC2" s="87"/>
      <c r="DD2"/>
      <c r="DE2" s="87"/>
      <c r="DF2" s="88"/>
      <c r="DG2" s="90"/>
    </row>
    <row r="3" spans="2:111" s="89" customFormat="1" x14ac:dyDescent="0.25">
      <c r="B3" s="97" t="s">
        <v>221</v>
      </c>
      <c r="C3" s="97" t="s">
        <v>215</v>
      </c>
      <c r="D3" s="98" t="str">
        <f>[2]!HsSetValue(E3,"FCC","Scenario#"&amp;Q3&amp;";Years#"&amp;J3&amp;";Period#"&amp;I3&amp;";View#"&amp;R3&amp;";Entity#"&amp;H3&amp;";Data Source#"&amp;K3&amp;";Account#"&amp;F3&amp;";Intercompany#"&amp;L3&amp;";Movement#"&amp;P3&amp;";Consolidation#"&amp;T3&amp;";Custom1#"&amp;M3&amp;";Custom2#"&amp;N3&amp;";Custom3#"&amp;O3&amp;";Custom4#"&amp;S3&amp;"")</f>
        <v>#Invalid Syntax</v>
      </c>
      <c r="E3" s="99">
        <f>+E2</f>
        <v>44277</v>
      </c>
      <c r="F3" s="100" t="s">
        <v>217</v>
      </c>
      <c r="G3" s="89" t="s">
        <v>837</v>
      </c>
      <c r="H3" s="89" t="e">
        <f>H2</f>
        <v>#N/A</v>
      </c>
      <c r="I3" s="89" t="str">
        <f t="shared" ref="I3:T3" si="0">+I2</f>
        <v>Jun</v>
      </c>
      <c r="J3" s="89" t="str">
        <f t="shared" si="0"/>
        <v>FY23</v>
      </c>
      <c r="K3" s="89" t="str">
        <f t="shared" si="0"/>
        <v>FCCS_Other Data</v>
      </c>
      <c r="L3" s="89" t="str">
        <f t="shared" si="0"/>
        <v>FCCS_No Intercompany</v>
      </c>
      <c r="M3" s="89" t="str">
        <f t="shared" si="0"/>
        <v>No Custom1</v>
      </c>
      <c r="N3" s="89" t="str">
        <f t="shared" si="0"/>
        <v>No Custom2</v>
      </c>
      <c r="O3" s="89" t="str">
        <f t="shared" si="0"/>
        <v>No Custom3</v>
      </c>
      <c r="P3" s="89" t="str">
        <f t="shared" si="0"/>
        <v>FCCS_ClosingBalance_Input</v>
      </c>
      <c r="Q3" s="89" t="str">
        <f t="shared" si="0"/>
        <v>Actual</v>
      </c>
      <c r="R3" s="89" t="str">
        <f t="shared" si="0"/>
        <v>FCCS_YTD_Input</v>
      </c>
      <c r="S3" s="89" t="str">
        <f t="shared" si="0"/>
        <v>No Custom4</v>
      </c>
      <c r="T3" s="89" t="str">
        <f t="shared" si="0"/>
        <v>FCCS_Entity Input</v>
      </c>
      <c r="DC3" s="87"/>
      <c r="DD3"/>
      <c r="DE3" s="87"/>
      <c r="DF3" s="88"/>
      <c r="DG3" s="90"/>
    </row>
    <row r="4" spans="2:111" s="89" customFormat="1" x14ac:dyDescent="0.25">
      <c r="B4" s="97" t="s">
        <v>222</v>
      </c>
      <c r="C4" s="97" t="s">
        <v>216</v>
      </c>
      <c r="D4" s="98" t="str">
        <f>[2]!HsSetValue(E4,"FCC","Scenario#"&amp;Q4&amp;";Years#"&amp;J4&amp;";Period#"&amp;I4&amp;";View#"&amp;R4&amp;";Entity#"&amp;H4&amp;";Data Source#"&amp;K4&amp;";Account#"&amp;F4&amp;";Intercompany#"&amp;L4&amp;";Movement#"&amp;P4&amp;";Consolidation#"&amp;T4&amp;";Custom1#"&amp;M4&amp;";Custom2#"&amp;N4&amp;";Custom3#"&amp;O4&amp;";Custom4#"&amp;S4&amp;"")</f>
        <v>#Invalid Syntax</v>
      </c>
      <c r="E4" s="101">
        <f>IF('Investment Analysis'!C9="Not Applicable",1,2)</f>
        <v>2</v>
      </c>
      <c r="F4" s="100" t="s">
        <v>219</v>
      </c>
      <c r="G4" s="89" t="s">
        <v>838</v>
      </c>
      <c r="H4" s="89" t="e">
        <f>H3</f>
        <v>#N/A</v>
      </c>
      <c r="I4" s="89" t="str">
        <f t="shared" ref="I4:T5" si="1">+I3</f>
        <v>Jun</v>
      </c>
      <c r="J4" s="89" t="str">
        <f t="shared" si="1"/>
        <v>FY23</v>
      </c>
      <c r="K4" s="89" t="str">
        <f t="shared" si="1"/>
        <v>FCCS_Other Data</v>
      </c>
      <c r="L4" s="89" t="str">
        <f t="shared" si="1"/>
        <v>FCCS_No Intercompany</v>
      </c>
      <c r="M4" s="89" t="str">
        <f t="shared" si="1"/>
        <v>No Custom1</v>
      </c>
      <c r="N4" s="89" t="str">
        <f t="shared" si="1"/>
        <v>No Custom2</v>
      </c>
      <c r="O4" s="89" t="str">
        <f t="shared" si="1"/>
        <v>No Custom3</v>
      </c>
      <c r="P4" s="89" t="str">
        <f t="shared" si="1"/>
        <v>FCCS_ClosingBalance_Input</v>
      </c>
      <c r="Q4" s="89" t="str">
        <f t="shared" si="1"/>
        <v>Actual</v>
      </c>
      <c r="R4" s="89" t="str">
        <f t="shared" si="1"/>
        <v>FCCS_YTD_Input</v>
      </c>
      <c r="S4" s="89" t="str">
        <f t="shared" si="1"/>
        <v>No Custom4</v>
      </c>
      <c r="T4" s="89" t="str">
        <f t="shared" si="1"/>
        <v>FCCS_Entity Input</v>
      </c>
      <c r="DC4" s="87"/>
      <c r="DD4"/>
      <c r="DE4"/>
      <c r="DF4" s="88"/>
      <c r="DG4" s="90"/>
    </row>
    <row r="5" spans="2:111" s="89" customFormat="1" x14ac:dyDescent="0.25">
      <c r="B5" s="97" t="s">
        <v>222</v>
      </c>
      <c r="C5" s="97" t="s">
        <v>216</v>
      </c>
      <c r="D5" s="98" t="str">
        <f>[2]!HsSetValue(E5,"FCC","Scenario#"&amp;Q5&amp;";Years#"&amp;J5&amp;";Period#"&amp;I5&amp;";View#"&amp;R5&amp;";Entity#"&amp;H5&amp;";Data Source#"&amp;K5&amp;";Account#"&amp;F5&amp;";Intercompany#"&amp;L5&amp;";Movement#"&amp;P5&amp;";Consolidation#"&amp;T5&amp;";Custom1#"&amp;M5&amp;";Custom2#"&amp;N5&amp;";Custom3#"&amp;O5&amp;";Custom4#"&amp;S5&amp;"")</f>
        <v>#Invalid Syntax</v>
      </c>
      <c r="E5" s="101">
        <f>IF('Investment Reconciliation'!B10="Not Applicable",1,2)</f>
        <v>2</v>
      </c>
      <c r="F5" s="100" t="s">
        <v>220</v>
      </c>
      <c r="G5" s="89" t="s">
        <v>838</v>
      </c>
      <c r="H5" s="89" t="e">
        <f>H4</f>
        <v>#N/A</v>
      </c>
      <c r="I5" s="89" t="str">
        <f t="shared" si="1"/>
        <v>Jun</v>
      </c>
      <c r="J5" s="89" t="str">
        <f t="shared" si="1"/>
        <v>FY23</v>
      </c>
      <c r="K5" s="89" t="str">
        <f t="shared" si="1"/>
        <v>FCCS_Other Data</v>
      </c>
      <c r="L5" s="89" t="str">
        <f t="shared" si="1"/>
        <v>FCCS_No Intercompany</v>
      </c>
      <c r="M5" s="89" t="str">
        <f t="shared" si="1"/>
        <v>No Custom1</v>
      </c>
      <c r="N5" s="89" t="str">
        <f t="shared" si="1"/>
        <v>No Custom2</v>
      </c>
      <c r="O5" s="89" t="str">
        <f t="shared" si="1"/>
        <v>No Custom3</v>
      </c>
      <c r="P5" s="89" t="str">
        <f t="shared" si="1"/>
        <v>FCCS_ClosingBalance_Input</v>
      </c>
      <c r="Q5" s="89" t="str">
        <f t="shared" si="1"/>
        <v>Actual</v>
      </c>
      <c r="R5" s="89" t="str">
        <f t="shared" si="1"/>
        <v>FCCS_YTD_Input</v>
      </c>
      <c r="S5" s="89" t="str">
        <f t="shared" si="1"/>
        <v>No Custom4</v>
      </c>
      <c r="T5" s="89" t="str">
        <f t="shared" si="1"/>
        <v>FCCS_Entity Input</v>
      </c>
      <c r="DC5" s="87"/>
      <c r="DD5"/>
      <c r="DE5" s="87"/>
      <c r="DF5" s="88"/>
      <c r="DG5" s="90"/>
    </row>
    <row r="6" spans="2:111" x14ac:dyDescent="0.25">
      <c r="DC6" s="87"/>
      <c r="DE6" s="87"/>
      <c r="DF6" s="88"/>
    </row>
    <row r="7" spans="2:111" x14ac:dyDescent="0.25">
      <c r="DC7" s="87"/>
      <c r="DE7" s="87"/>
      <c r="DF7" s="88"/>
    </row>
    <row r="8" spans="2:111" x14ac:dyDescent="0.25">
      <c r="DC8" s="87"/>
      <c r="DE8" s="87"/>
      <c r="DF8" s="88"/>
    </row>
    <row r="9" spans="2:111" x14ac:dyDescent="0.25">
      <c r="DC9" s="87"/>
      <c r="DE9" s="87"/>
      <c r="DF9" s="88"/>
    </row>
    <row r="10" spans="2:111" x14ac:dyDescent="0.25">
      <c r="DC10" s="87"/>
      <c r="DE10" s="87"/>
      <c r="DF10" s="88"/>
    </row>
    <row r="11" spans="2:111" x14ac:dyDescent="0.25">
      <c r="DC11" s="87"/>
      <c r="DE11" s="87"/>
      <c r="DF11" s="88"/>
    </row>
    <row r="12" spans="2:111" x14ac:dyDescent="0.25">
      <c r="DC12" s="87"/>
      <c r="DE12" s="87"/>
      <c r="DF12" s="88"/>
    </row>
    <row r="13" spans="2:111" x14ac:dyDescent="0.25">
      <c r="DC13" s="87"/>
      <c r="DD13" s="88"/>
      <c r="DE13" s="87"/>
      <c r="DF13" s="88"/>
    </row>
    <row r="14" spans="2:111" x14ac:dyDescent="0.25">
      <c r="DC14" s="87"/>
      <c r="DE14" s="87"/>
      <c r="DF14" s="88"/>
    </row>
    <row r="15" spans="2:111" x14ac:dyDescent="0.25">
      <c r="DC15" s="87"/>
      <c r="DE15" s="87"/>
      <c r="DF15" s="88"/>
    </row>
    <row r="16" spans="2:111" x14ac:dyDescent="0.25">
      <c r="DC16" s="87"/>
      <c r="DE16" s="87"/>
      <c r="DF16" s="88"/>
    </row>
    <row r="17" spans="107:110" x14ac:dyDescent="0.25">
      <c r="DC17" s="87"/>
      <c r="DE17" s="89"/>
      <c r="DF17" s="88"/>
    </row>
    <row r="18" spans="107:110" x14ac:dyDescent="0.25">
      <c r="DC18" s="87"/>
      <c r="DE18" s="87"/>
      <c r="DF18" s="88"/>
    </row>
    <row r="19" spans="107:110" x14ac:dyDescent="0.25">
      <c r="DC19" s="87"/>
      <c r="DE19" s="87"/>
      <c r="DF19" s="88"/>
    </row>
    <row r="20" spans="107:110" x14ac:dyDescent="0.25">
      <c r="DC20" s="87"/>
      <c r="DE20" s="87"/>
      <c r="DF20" s="88"/>
    </row>
    <row r="21" spans="107:110" x14ac:dyDescent="0.25">
      <c r="DC21" s="89"/>
      <c r="DD21" s="89"/>
      <c r="DE21" s="90"/>
      <c r="DF21" s="88"/>
    </row>
    <row r="22" spans="107:110" x14ac:dyDescent="0.25">
      <c r="DC22" s="87"/>
      <c r="DE22" s="87"/>
      <c r="DF22" s="88"/>
    </row>
    <row r="23" spans="107:110" x14ac:dyDescent="0.25">
      <c r="DC23" s="87"/>
      <c r="DE23" s="87"/>
      <c r="DF23" s="88"/>
    </row>
    <row r="24" spans="107:110" x14ac:dyDescent="0.25">
      <c r="DC24" s="87"/>
      <c r="DE24" s="87"/>
      <c r="DF24" s="88"/>
    </row>
    <row r="25" spans="107:110" x14ac:dyDescent="0.25">
      <c r="DC25" s="87"/>
      <c r="DE25" s="87"/>
      <c r="DF25" s="88"/>
    </row>
    <row r="26" spans="107:110" x14ac:dyDescent="0.25">
      <c r="DC26" s="87"/>
      <c r="DE26" s="87"/>
      <c r="DF26" s="88"/>
    </row>
    <row r="27" spans="107:110" x14ac:dyDescent="0.25">
      <c r="DC27" s="87"/>
      <c r="DE27" s="87"/>
      <c r="DF27" s="88"/>
    </row>
    <row r="28" spans="107:110" x14ac:dyDescent="0.25">
      <c r="DC28" s="87"/>
      <c r="DE28" s="87"/>
      <c r="DF28" s="88"/>
    </row>
    <row r="29" spans="107:110" x14ac:dyDescent="0.25">
      <c r="DC29" s="87"/>
      <c r="DE29" s="87"/>
      <c r="DF29" s="88"/>
    </row>
    <row r="30" spans="107:110" x14ac:dyDescent="0.25">
      <c r="DC30" s="87"/>
      <c r="DE30" s="87"/>
      <c r="DF30" s="88"/>
    </row>
    <row r="31" spans="107:110" x14ac:dyDescent="0.25">
      <c r="DC31" s="87"/>
      <c r="DE31" s="87"/>
      <c r="DF31" s="88"/>
    </row>
    <row r="32" spans="107:110" x14ac:dyDescent="0.25">
      <c r="DC32" s="87"/>
      <c r="DE32" s="87"/>
      <c r="DF32" s="88"/>
    </row>
    <row r="33" spans="107:110" x14ac:dyDescent="0.25">
      <c r="DC33" s="87"/>
      <c r="DE33" s="87"/>
      <c r="DF33" s="88"/>
    </row>
    <row r="34" spans="107:110" x14ac:dyDescent="0.25">
      <c r="DC34" s="87"/>
      <c r="DE34" s="87"/>
      <c r="DF34" s="88"/>
    </row>
    <row r="35" spans="107:110" x14ac:dyDescent="0.25">
      <c r="DC35" s="87"/>
      <c r="DE35" s="87"/>
      <c r="DF35" s="88"/>
    </row>
    <row r="36" spans="107:110" x14ac:dyDescent="0.25">
      <c r="DC36" s="87"/>
      <c r="DE36" s="87"/>
      <c r="DF36" s="88"/>
    </row>
    <row r="37" spans="107:110" x14ac:dyDescent="0.25">
      <c r="DC37" s="87"/>
      <c r="DE37" s="87"/>
      <c r="DF37" s="88"/>
    </row>
    <row r="38" spans="107:110" x14ac:dyDescent="0.25">
      <c r="DC38" s="87"/>
      <c r="DE38" s="87"/>
      <c r="DF38" s="88"/>
    </row>
    <row r="39" spans="107:110" x14ac:dyDescent="0.25">
      <c r="DC39" s="87"/>
      <c r="DE39" s="87"/>
      <c r="DF39" s="88"/>
    </row>
    <row r="40" spans="107:110" x14ac:dyDescent="0.25">
      <c r="DC40" s="87"/>
      <c r="DE40" s="87"/>
      <c r="DF40" s="88"/>
    </row>
    <row r="41" spans="107:110" x14ac:dyDescent="0.25">
      <c r="DC41" s="87"/>
      <c r="DE41" s="87"/>
      <c r="DF41" s="88"/>
    </row>
    <row r="42" spans="107:110" x14ac:dyDescent="0.25">
      <c r="DC42" s="87"/>
      <c r="DE42" s="87"/>
      <c r="DF42" s="88"/>
    </row>
    <row r="43" spans="107:110" x14ac:dyDescent="0.25">
      <c r="DC43" s="87"/>
      <c r="DE43" s="87"/>
      <c r="DF43" s="88"/>
    </row>
    <row r="44" spans="107:110" x14ac:dyDescent="0.25">
      <c r="DC44" s="87"/>
      <c r="DE44" s="87"/>
      <c r="DF44" s="88"/>
    </row>
    <row r="45" spans="107:110" x14ac:dyDescent="0.25">
      <c r="DC45" s="87"/>
      <c r="DE45" s="87"/>
      <c r="DF45" s="88"/>
    </row>
    <row r="46" spans="107:110" x14ac:dyDescent="0.25">
      <c r="DC46" s="87"/>
      <c r="DE46" s="87"/>
      <c r="DF46" s="88"/>
    </row>
    <row r="47" spans="107:110" x14ac:dyDescent="0.25">
      <c r="DC47" s="87"/>
      <c r="DE47" s="87"/>
      <c r="DF47" s="88"/>
    </row>
    <row r="48" spans="107:110" x14ac:dyDescent="0.25">
      <c r="DC48" s="87"/>
      <c r="DE48" s="87"/>
      <c r="DF48" s="88"/>
    </row>
    <row r="49" spans="107:110" x14ac:dyDescent="0.25">
      <c r="DC49" s="87"/>
      <c r="DE49" s="87"/>
      <c r="DF49" s="88"/>
    </row>
    <row r="50" spans="107:110" x14ac:dyDescent="0.25">
      <c r="DC50" s="87"/>
      <c r="DE50" s="87"/>
      <c r="DF50" s="88"/>
    </row>
    <row r="51" spans="107:110" x14ac:dyDescent="0.25">
      <c r="DC51" s="87"/>
      <c r="DE51" s="87"/>
      <c r="DF51" s="88"/>
    </row>
    <row r="52" spans="107:110" x14ac:dyDescent="0.25">
      <c r="DC52" s="87"/>
      <c r="DE52" s="87"/>
      <c r="DF52" s="88"/>
    </row>
    <row r="53" spans="107:110" x14ac:dyDescent="0.25">
      <c r="DC53" s="87"/>
      <c r="DE53" s="87"/>
      <c r="DF53" s="88"/>
    </row>
    <row r="54" spans="107:110" x14ac:dyDescent="0.25">
      <c r="DC54" s="87"/>
      <c r="DE54" s="87"/>
      <c r="DF54" s="88"/>
    </row>
    <row r="55" spans="107:110" x14ac:dyDescent="0.25">
      <c r="DC55" s="87"/>
      <c r="DE55" s="87"/>
      <c r="DF55" s="88"/>
    </row>
    <row r="56" spans="107:110" x14ac:dyDescent="0.25">
      <c r="DC56" s="87"/>
      <c r="DE56" s="87"/>
      <c r="DF56" s="88"/>
    </row>
    <row r="57" spans="107:110" x14ac:dyDescent="0.25">
      <c r="DC57" s="87"/>
      <c r="DE57" s="87"/>
      <c r="DF57" s="88"/>
    </row>
    <row r="58" spans="107:110" x14ac:dyDescent="0.25">
      <c r="DC58" s="87"/>
      <c r="DE58" s="87"/>
      <c r="DF58" s="88"/>
    </row>
    <row r="59" spans="107:110" x14ac:dyDescent="0.25">
      <c r="DC59" s="87"/>
      <c r="DE59" s="87"/>
      <c r="DF59" s="88"/>
    </row>
    <row r="60" spans="107:110" x14ac:dyDescent="0.25">
      <c r="DC60" s="87"/>
      <c r="DE60" s="87"/>
      <c r="DF60" s="88"/>
    </row>
    <row r="61" spans="107:110" x14ac:dyDescent="0.25">
      <c r="DC61" s="87"/>
      <c r="DE61" s="87"/>
      <c r="DF61" s="88"/>
    </row>
    <row r="62" spans="107:110" x14ac:dyDescent="0.25">
      <c r="DC62" s="87"/>
      <c r="DE62" s="87"/>
      <c r="DF62" s="88"/>
    </row>
    <row r="63" spans="107:110" x14ac:dyDescent="0.25">
      <c r="DC63" s="87"/>
      <c r="DE63" s="87"/>
      <c r="DF63" s="88"/>
    </row>
    <row r="64" spans="107:110" x14ac:dyDescent="0.25">
      <c r="DC64" s="87"/>
      <c r="DE64" s="87"/>
      <c r="DF64" s="88"/>
    </row>
    <row r="65" spans="107:110" x14ac:dyDescent="0.25">
      <c r="DC65" s="87"/>
      <c r="DE65" s="87"/>
      <c r="DF65" s="88"/>
    </row>
    <row r="66" spans="107:110" x14ac:dyDescent="0.25">
      <c r="DC66" s="87"/>
      <c r="DE66" s="87"/>
      <c r="DF66" s="88"/>
    </row>
    <row r="67" spans="107:110" x14ac:dyDescent="0.25">
      <c r="DC67" s="87"/>
      <c r="DE67" s="87"/>
      <c r="DF67" s="88"/>
    </row>
    <row r="68" spans="107:110" x14ac:dyDescent="0.25">
      <c r="DC68" s="87"/>
      <c r="DE68" s="87"/>
      <c r="DF68" s="88"/>
    </row>
    <row r="69" spans="107:110" x14ac:dyDescent="0.25">
      <c r="DC69" s="87"/>
      <c r="DE69" s="87"/>
      <c r="DF69" s="88"/>
    </row>
    <row r="70" spans="107:110" x14ac:dyDescent="0.25">
      <c r="DC70" s="87"/>
      <c r="DE70" s="87"/>
      <c r="DF70" s="88"/>
    </row>
    <row r="71" spans="107:110" x14ac:dyDescent="0.25">
      <c r="DC71" s="87"/>
      <c r="DE71" s="87"/>
      <c r="DF71" s="88"/>
    </row>
    <row r="72" spans="107:110" x14ac:dyDescent="0.25">
      <c r="DC72" s="87"/>
      <c r="DE72" s="87"/>
      <c r="DF72" s="88"/>
    </row>
    <row r="73" spans="107:110" x14ac:dyDescent="0.25">
      <c r="DC73" s="87"/>
      <c r="DE73" s="87"/>
      <c r="DF73" s="88"/>
    </row>
    <row r="74" spans="107:110" x14ac:dyDescent="0.25">
      <c r="DC74" s="87"/>
      <c r="DE74" s="87"/>
      <c r="DF74" s="88"/>
    </row>
    <row r="75" spans="107:110" x14ac:dyDescent="0.25">
      <c r="DC75" s="87"/>
      <c r="DE75" s="87"/>
      <c r="DF75" s="88"/>
    </row>
    <row r="76" spans="107:110" x14ac:dyDescent="0.25">
      <c r="DC76" s="87"/>
      <c r="DE76" s="87"/>
      <c r="DF76" s="88"/>
    </row>
    <row r="77" spans="107:110" x14ac:dyDescent="0.25">
      <c r="DC77" s="87"/>
      <c r="DE77" s="87"/>
      <c r="DF77" s="88"/>
    </row>
    <row r="78" spans="107:110" x14ac:dyDescent="0.25">
      <c r="DC78" s="87"/>
      <c r="DE78" s="87"/>
      <c r="DF78" s="88"/>
    </row>
    <row r="79" spans="107:110" x14ac:dyDescent="0.25">
      <c r="DC79" s="87"/>
      <c r="DE79" s="87"/>
      <c r="DF79" s="88"/>
    </row>
    <row r="80" spans="107:110" x14ac:dyDescent="0.25">
      <c r="DC80" s="87"/>
      <c r="DE80" s="87"/>
      <c r="DF80" s="88"/>
    </row>
    <row r="81" spans="107:110" x14ac:dyDescent="0.25">
      <c r="DC81" s="87"/>
      <c r="DE81" s="87"/>
      <c r="DF81" s="88"/>
    </row>
    <row r="82" spans="107:110" x14ac:dyDescent="0.25">
      <c r="DC82" s="87"/>
      <c r="DE82" s="87"/>
      <c r="DF82" s="88"/>
    </row>
    <row r="83" spans="107:110" x14ac:dyDescent="0.25">
      <c r="DC83" s="87"/>
      <c r="DE83" s="87"/>
      <c r="DF83" s="88"/>
    </row>
    <row r="84" spans="107:110" x14ac:dyDescent="0.25">
      <c r="DC84" s="87"/>
      <c r="DE84" s="87"/>
      <c r="DF84" s="88"/>
    </row>
    <row r="85" spans="107:110" x14ac:dyDescent="0.25">
      <c r="DC85" s="87"/>
      <c r="DE85" s="87"/>
      <c r="DF85" s="88"/>
    </row>
    <row r="86" spans="107:110" x14ac:dyDescent="0.25">
      <c r="DC86" s="87"/>
      <c r="DE86" s="87"/>
      <c r="DF86" s="88"/>
    </row>
    <row r="87" spans="107:110" x14ac:dyDescent="0.25">
      <c r="DC87" s="87"/>
      <c r="DE87" s="87"/>
      <c r="DF87" s="88"/>
    </row>
    <row r="88" spans="107:110" x14ac:dyDescent="0.25">
      <c r="DC88" s="102"/>
      <c r="DE88" s="87"/>
      <c r="DF88" s="88"/>
    </row>
    <row r="89" spans="107:110" x14ac:dyDescent="0.25">
      <c r="DC89" s="89"/>
      <c r="DE89" s="90"/>
      <c r="DF89" s="88"/>
    </row>
    <row r="90" spans="107:110" x14ac:dyDescent="0.25">
      <c r="DC90" s="87"/>
      <c r="DE90" s="87"/>
      <c r="DF90" s="88"/>
    </row>
    <row r="91" spans="107:110" x14ac:dyDescent="0.25">
      <c r="DC91" s="87"/>
      <c r="DE91" s="87"/>
      <c r="DF91" s="88"/>
    </row>
    <row r="92" spans="107:110" x14ac:dyDescent="0.25">
      <c r="DC92" s="87"/>
      <c r="DE92" s="87"/>
      <c r="DF92" s="88"/>
    </row>
    <row r="93" spans="107:110" x14ac:dyDescent="0.25">
      <c r="DC93" s="87"/>
      <c r="DE93" s="87"/>
      <c r="DF93" s="88"/>
    </row>
    <row r="94" spans="107:110" x14ac:dyDescent="0.25">
      <c r="DC94" s="87"/>
      <c r="DE94" s="87"/>
      <c r="DF94" s="88"/>
    </row>
    <row r="95" spans="107:110" x14ac:dyDescent="0.25">
      <c r="DC95" s="87"/>
      <c r="DE95" s="87"/>
      <c r="DF95" s="88"/>
    </row>
    <row r="96" spans="107:110" x14ac:dyDescent="0.25">
      <c r="DC96" s="87"/>
      <c r="DE96" s="87"/>
      <c r="DF96" s="88"/>
    </row>
    <row r="97" spans="107:110" x14ac:dyDescent="0.25">
      <c r="DC97" s="87"/>
      <c r="DE97" s="87"/>
      <c r="DF97" s="88"/>
    </row>
    <row r="98" spans="107:110" x14ac:dyDescent="0.25">
      <c r="DC98" s="87"/>
      <c r="DE98" s="87"/>
      <c r="DF98" s="88"/>
    </row>
    <row r="99" spans="107:110" x14ac:dyDescent="0.25">
      <c r="DC99" s="87"/>
      <c r="DE99" s="87"/>
      <c r="DF99" s="88"/>
    </row>
    <row r="100" spans="107:110" x14ac:dyDescent="0.25">
      <c r="DC100" s="87"/>
      <c r="DE100" s="87"/>
      <c r="DF100" s="88"/>
    </row>
    <row r="101" spans="107:110" x14ac:dyDescent="0.25">
      <c r="DC101" s="87"/>
      <c r="DE101" s="87"/>
      <c r="DF101" s="88"/>
    </row>
    <row r="102" spans="107:110" x14ac:dyDescent="0.25">
      <c r="DC102" s="87"/>
      <c r="DE102" s="87"/>
      <c r="DF102" s="88"/>
    </row>
    <row r="103" spans="107:110" x14ac:dyDescent="0.25">
      <c r="DC103" s="87"/>
      <c r="DE103" s="87"/>
      <c r="DF103" s="88"/>
    </row>
    <row r="104" spans="107:110" x14ac:dyDescent="0.25">
      <c r="DC104" s="87"/>
      <c r="DE104" s="87"/>
      <c r="DF104" s="88"/>
    </row>
    <row r="105" spans="107:110" x14ac:dyDescent="0.25">
      <c r="DC105" s="87"/>
      <c r="DE105" s="87"/>
      <c r="DF105" s="88"/>
    </row>
    <row r="106" spans="107:110" x14ac:dyDescent="0.25">
      <c r="DC106" s="87"/>
      <c r="DE106" s="87"/>
      <c r="DF106" s="88"/>
    </row>
    <row r="107" spans="107:110" x14ac:dyDescent="0.25">
      <c r="DC107" s="87"/>
      <c r="DE107" s="87"/>
      <c r="DF107" s="88"/>
    </row>
    <row r="108" spans="107:110" x14ac:dyDescent="0.25">
      <c r="DC108" s="87"/>
      <c r="DE108" s="87"/>
      <c r="DF108" s="88"/>
    </row>
    <row r="109" spans="107:110" x14ac:dyDescent="0.25">
      <c r="DC109" s="87"/>
      <c r="DE109" s="87"/>
      <c r="DF109" s="88"/>
    </row>
    <row r="110" spans="107:110" x14ac:dyDescent="0.25">
      <c r="DC110" s="87"/>
      <c r="DE110" s="87"/>
      <c r="DF110" s="88"/>
    </row>
    <row r="111" spans="107:110" x14ac:dyDescent="0.25">
      <c r="DC111" s="87"/>
      <c r="DE111" s="87"/>
      <c r="DF111" s="88"/>
    </row>
    <row r="112" spans="107:110" x14ac:dyDescent="0.25">
      <c r="DC112" s="87"/>
      <c r="DE112" s="87"/>
      <c r="DF112" s="88"/>
    </row>
    <row r="113" spans="107:110" x14ac:dyDescent="0.25">
      <c r="DC113" s="87"/>
      <c r="DE113" s="87"/>
      <c r="DF113" s="88"/>
    </row>
    <row r="114" spans="107:110" x14ac:dyDescent="0.25">
      <c r="DC114" s="87"/>
      <c r="DE114" s="87"/>
      <c r="DF114" s="88"/>
    </row>
    <row r="115" spans="107:110" x14ac:dyDescent="0.25">
      <c r="DC115" s="87"/>
      <c r="DE115" s="87"/>
      <c r="DF115" s="88"/>
    </row>
    <row r="116" spans="107:110" x14ac:dyDescent="0.25">
      <c r="DC116" s="87"/>
      <c r="DE116" s="87"/>
      <c r="DF116" s="88"/>
    </row>
    <row r="117" spans="107:110" x14ac:dyDescent="0.25">
      <c r="DC117" s="87"/>
      <c r="DE117" s="87"/>
      <c r="DF117" s="88"/>
    </row>
    <row r="118" spans="107:110" x14ac:dyDescent="0.25">
      <c r="DC118" s="87"/>
      <c r="DE118" s="87"/>
      <c r="DF118" s="88"/>
    </row>
    <row r="119" spans="107:110" x14ac:dyDescent="0.25">
      <c r="DC119" s="87"/>
      <c r="DE119" s="87"/>
      <c r="DF119" s="88"/>
    </row>
    <row r="120" spans="107:110" x14ac:dyDescent="0.25">
      <c r="DC120" s="87"/>
      <c r="DE120" s="87"/>
      <c r="DF120" s="88"/>
    </row>
    <row r="121" spans="107:110" x14ac:dyDescent="0.25">
      <c r="DC121" s="87"/>
      <c r="DE121" s="87"/>
      <c r="DF121" s="88"/>
    </row>
    <row r="122" spans="107:110" x14ac:dyDescent="0.25">
      <c r="DC122" s="87"/>
      <c r="DE122" s="87"/>
      <c r="DF122" s="88"/>
    </row>
    <row r="123" spans="107:110" x14ac:dyDescent="0.25">
      <c r="DC123" s="87"/>
      <c r="DE123" s="87"/>
      <c r="DF123" s="88"/>
    </row>
    <row r="124" spans="107:110" x14ac:dyDescent="0.25">
      <c r="DC124" s="87"/>
      <c r="DE124" s="87"/>
      <c r="DF124" s="88"/>
    </row>
    <row r="125" spans="107:110" x14ac:dyDescent="0.25">
      <c r="DC125" s="87"/>
      <c r="DE125" s="87"/>
      <c r="DF125" s="88"/>
    </row>
    <row r="126" spans="107:110" x14ac:dyDescent="0.25">
      <c r="DC126" s="87"/>
      <c r="DE126" s="87"/>
      <c r="DF126" s="88"/>
    </row>
    <row r="127" spans="107:110" x14ac:dyDescent="0.25">
      <c r="DC127" s="87"/>
      <c r="DE127" s="87"/>
      <c r="DF127" s="88"/>
    </row>
    <row r="128" spans="107:110" x14ac:dyDescent="0.25">
      <c r="DC128" s="87"/>
      <c r="DE128" s="87"/>
      <c r="DF128" s="88"/>
    </row>
    <row r="129" spans="107:110" x14ac:dyDescent="0.25">
      <c r="DC129" s="87"/>
      <c r="DE129" s="87"/>
      <c r="DF129" s="88"/>
    </row>
    <row r="130" spans="107:110" x14ac:dyDescent="0.25">
      <c r="DC130" s="87"/>
      <c r="DE130" s="87"/>
      <c r="DF130" s="88"/>
    </row>
    <row r="131" spans="107:110" x14ac:dyDescent="0.25">
      <c r="DC131" s="87"/>
      <c r="DE131" s="87"/>
      <c r="DF131" s="88"/>
    </row>
    <row r="132" spans="107:110" x14ac:dyDescent="0.25">
      <c r="DC132" s="87"/>
      <c r="DE132" s="87"/>
      <c r="DF132" s="88"/>
    </row>
    <row r="133" spans="107:110" x14ac:dyDescent="0.25">
      <c r="DC133" s="87"/>
      <c r="DE133" s="87"/>
      <c r="DF133" s="88"/>
    </row>
    <row r="134" spans="107:110" x14ac:dyDescent="0.25">
      <c r="DC134" s="87"/>
      <c r="DE134" s="87"/>
      <c r="DF134" s="88"/>
    </row>
    <row r="135" spans="107:110" x14ac:dyDescent="0.25">
      <c r="DC135" s="87"/>
      <c r="DE135" s="87"/>
      <c r="DF135" s="88"/>
    </row>
    <row r="136" spans="107:110" x14ac:dyDescent="0.25">
      <c r="DC136" s="87"/>
      <c r="DE136" s="87"/>
      <c r="DF136" s="88"/>
    </row>
    <row r="137" spans="107:110" x14ac:dyDescent="0.25">
      <c r="DC137" s="87"/>
      <c r="DE137" s="87"/>
      <c r="DF137" s="88"/>
    </row>
  </sheetData>
  <sheetProtection algorithmName="SHA-512" hashValue="NZiNN8urC+AkVte+XcjS1dCF9ndYJamlxJP0DyRzbXSYvzyRMKkA2kaOtp6iEPsZXqtu4eNe7Ph/w5FyHhaqgg==" saltValue="EDMFKG7e59hqpiDMYKon0Q==" spinCount="100000" sheet="1" formatCells="0" formatColumns="0" formatRows="0"/>
  <phoneticPr fontId="61" type="noConversion"/>
  <pageMargins left="0.2" right="0.21" top="0.75" bottom="0.75" header="0.3" footer="0.3"/>
  <pageSetup scale="77" orientation="landscape" r:id="rId1"/>
  <headerFooter>
    <oddFooter>&amp;L&amp;"Times New Roman,Italic"&amp;9&amp;Z&amp;F  &amp;A&amp;R&amp;"Times New Roman,Italic"&amp;9&amp;D &amp;T</oddFooter>
  </headerFooter>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ADE0480D34774EBA5D3697FC66AFE2" ma:contentTypeVersion="7" ma:contentTypeDescription="Create a new document." ma:contentTypeScope="" ma:versionID="5fa7e4d9e32d34ba067437b008f2dcab">
  <xsd:schema xmlns:xsd="http://www.w3.org/2001/XMLSchema" xmlns:xs="http://www.w3.org/2001/XMLSchema" xmlns:p="http://schemas.microsoft.com/office/2006/metadata/properties" xmlns:ns2="007ad192-e014-4558-84ba-7fb8a68504d6" targetNamespace="http://schemas.microsoft.com/office/2006/metadata/properties" ma:root="true" ma:fieldsID="1e0bbd3be10d478d44669f88eda29fe0" ns2:_="">
    <xsd:import namespace="007ad192-e014-4558-84ba-7fb8a68504d6"/>
    <xsd:element name="properties">
      <xsd:complexType>
        <xsd:sequence>
          <xsd:element name="documentManagement">
            <xsd:complexType>
              <xsd:all>
                <xsd:element ref="ns2:MediaServiceMetadata" minOccurs="0"/>
                <xsd:element ref="ns2:MediaServiceFastMetadata" minOccurs="0"/>
                <xsd:element ref="ns2:Ready2Publish"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7ad192-e014-4558-84ba-7fb8a68504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ady2Publish" ma:index="10" nillable="true" ma:displayName="Ready" ma:default="0" ma:format="Dropdown" ma:internalName="Ready2Publish">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ady2Publish xmlns="007ad192-e014-4558-84ba-7fb8a68504d6">true</Ready2Publish>
  </documentManagement>
</p:properties>
</file>

<file path=customXml/itemProps1.xml><?xml version="1.0" encoding="utf-8"?>
<ds:datastoreItem xmlns:ds="http://schemas.openxmlformats.org/officeDocument/2006/customXml" ds:itemID="{8F125974-97F4-4C9E-AAD7-219559202FEF}">
  <ds:schemaRefs>
    <ds:schemaRef ds:uri="http://schemas.microsoft.com/sharepoint/v3/contenttype/forms"/>
  </ds:schemaRefs>
</ds:datastoreItem>
</file>

<file path=customXml/itemProps2.xml><?xml version="1.0" encoding="utf-8"?>
<ds:datastoreItem xmlns:ds="http://schemas.openxmlformats.org/officeDocument/2006/customXml" ds:itemID="{F8EF640C-0915-4CE9-BC24-C56F483371F2}"/>
</file>

<file path=customXml/itemProps3.xml><?xml version="1.0" encoding="utf-8"?>
<ds:datastoreItem xmlns:ds="http://schemas.openxmlformats.org/officeDocument/2006/customXml" ds:itemID="{C3239540-B4A7-4871-A33E-3059C7BEE20E}">
  <ds:schemaRefs>
    <ds:schemaRef ds:uri="http://schemas.microsoft.com/office/2006/metadata/properties"/>
    <ds:schemaRef ds:uri="http://schemas.microsoft.com/office/infopath/2007/PartnerControls"/>
    <ds:schemaRef ds:uri="cf54edaa-59c1-413d-8688-8c813521b403"/>
    <ds:schemaRef ds:uri="021c1d16-4104-4e89-abfd-86694bb84ae6"/>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20</vt:i4>
      </vt:variant>
    </vt:vector>
  </HeadingPairs>
  <TitlesOfParts>
    <vt:vector size="34" baseType="lpstr">
      <vt:lpstr>POV</vt:lpstr>
      <vt:lpstr>Checklist</vt:lpstr>
      <vt:lpstr>Instructions</vt:lpstr>
      <vt:lpstr>SAO Checklist Only</vt:lpstr>
      <vt:lpstr>Investment Analysis</vt:lpstr>
      <vt:lpstr>Investment Reconciliation</vt:lpstr>
      <vt:lpstr>Foreign Currency Detail</vt:lpstr>
      <vt:lpstr>RISK MATRIX</vt:lpstr>
      <vt:lpstr>FCC Date &amp; NA</vt:lpstr>
      <vt:lpstr>FCC Investments - Load Tab</vt:lpstr>
      <vt:lpstr>C3 &amp; C4 &amp; Acct.</vt:lpstr>
      <vt:lpstr>Investment List</vt:lpstr>
      <vt:lpstr>Entity List 6.24.2026</vt:lpstr>
      <vt:lpstr>Look-Ups-Mapping</vt:lpstr>
      <vt:lpstr>BU</vt:lpstr>
      <vt:lpstr>Entity1</vt:lpstr>
      <vt:lpstr>Entity2</vt:lpstr>
      <vt:lpstr>Entity3</vt:lpstr>
      <vt:lpstr>NA</vt:lpstr>
      <vt:lpstr>Checklist!Print_Area</vt:lpstr>
      <vt:lpstr>'FCC Date &amp; NA'!Print_Area</vt:lpstr>
      <vt:lpstr>'Foreign Currency Detail'!Print_Area</vt:lpstr>
      <vt:lpstr>Instructions!Print_Area</vt:lpstr>
      <vt:lpstr>'Investment Analysis'!Print_Area</vt:lpstr>
      <vt:lpstr>'RISK MATRIX'!Print_Area</vt:lpstr>
      <vt:lpstr>'SAO Checklist Only'!Print_Area</vt:lpstr>
      <vt:lpstr>Checklist!Print_Titles</vt:lpstr>
      <vt:lpstr>Instructions!Print_Titles</vt:lpstr>
      <vt:lpstr>'Investment Analysis'!Print_Titles</vt:lpstr>
      <vt:lpstr>'SAO Checklist Only'!Print_Titles</vt:lpstr>
      <vt:lpstr>Rating</vt:lpstr>
      <vt:lpstr>'Entity List 6.24.2026'!Term</vt:lpstr>
      <vt:lpstr>TermRating</vt:lpstr>
      <vt:lpstr>YN</vt:lpstr>
    </vt:vector>
  </TitlesOfParts>
  <Company>Georgia Technology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etate</dc:creator>
  <cp:lastModifiedBy>Kim, Kate</cp:lastModifiedBy>
  <cp:lastPrinted>2025-06-27T11:40:43Z</cp:lastPrinted>
  <dcterms:created xsi:type="dcterms:W3CDTF">2005-05-04T17:20:10Z</dcterms:created>
  <dcterms:modified xsi:type="dcterms:W3CDTF">2026-07-13T18:38:39Z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0x01010023ADE0480D34774EBA5D3697FC66AFE2</vt:lpwstr>
  </property>
  <property fmtid="{D5CDD505-2E9C-101B-9397-08002B2CF9AE}" pid="5" name="MediaServiceImageTags">
    <vt:lpwstr/>
  </property>
</Properties>
</file>